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danielfaloppa/Downloads/"/>
    </mc:Choice>
  </mc:AlternateContent>
  <xr:revisionPtr revIDLastSave="0" documentId="13_ncr:1_{59FBB8D0-0127-F247-88AC-332F2E603B61}" xr6:coauthVersionLast="47" xr6:coauthVersionMax="47" xr10:uidLastSave="{00000000-0000-0000-0000-000000000000}"/>
  <bookViews>
    <workbookView xWindow="18200" yWindow="9640" windowWidth="28800" windowHeight="18940" activeTab="5" xr2:uid="{00000000-000D-0000-FFFF-FFFF00000000}"/>
  </bookViews>
  <sheets>
    <sheet name="Introduction" sheetId="1" r:id="rId1"/>
    <sheet name="P&amp;L &amp; CF" sheetId="2" r:id="rId2"/>
    <sheet name="Revenue" sheetId="3" r:id="rId3"/>
    <sheet name="Costs" sheetId="4" r:id="rId4"/>
    <sheet name="BS CF" sheetId="6" r:id="rId5"/>
    <sheet name="Equidam Financials Input" sheetId="8" r:id="rId6"/>
  </sheets>
  <externalReferences>
    <externalReference r:id="rId7"/>
    <externalReference r:id="rId8"/>
    <externalReference r:id="rId9"/>
  </externalReferences>
  <definedNames>
    <definedName name="accrued_employee_and_crew_salary">'Equidam Financials Input'!$N$86:$S$86</definedName>
    <definedName name="accrued_IT_expenses">'Equidam Financials Input'!$N$87:$S$87</definedName>
    <definedName name="accrued_manag_salary">'Equidam Financials Input'!$N$84:$S$84</definedName>
    <definedName name="accrued_postholder_salary">'Equidam Financials Input'!$N$85:$S$85</definedName>
    <definedName name="aircraft_lease">'Equidam Financials Input'!$N$37:$S$37</definedName>
    <definedName name="aircraft_lease_deposit">'Equidam Financials Input'!$N$49:$S$49</definedName>
    <definedName name="aircraft_subscriptions">'Equidam Financials Input'!$N$40:$S$40</definedName>
    <definedName name="av_receivable_days">'[1]BWI Assumption Workings'!$D$80</definedName>
    <definedName name="cash_and_cash_equiv">'Equidam Financials Input'!$E$32:$J$32</definedName>
    <definedName name="change_in_NWC">'Equidam Financials Input'!$N$93:$S$93</definedName>
    <definedName name="contingency">'Equidam Financials Input'!$N$58:$S$58</definedName>
    <definedName name="Cost_of_Goods_Sold">'Equidam Financials Input'!$N$41:$S$41</definedName>
    <definedName name="crew_salary">'Equidam Financials Input'!$N$46:$S$46</definedName>
    <definedName name="current_assets">'Equidam Financials Input'!$N$82:$S$82</definedName>
    <definedName name="current_liabilities">'Equidam Financials Input'!$N$88:$S$88</definedName>
    <definedName name="days_in_year">'[1]BWI Assumption Workings'!$D$23</definedName>
    <definedName name="debt">'Equidam Financials Input'!$E$56:$J$56</definedName>
    <definedName name="EBIT">'Equidam Financials Input'!$N$71:$S$71</definedName>
    <definedName name="EBITDA">'Equidam Financials Input'!$N$64:$S$64</definedName>
    <definedName name="employee_salary">'Equidam Financials Input'!$N$45:$S$45</definedName>
    <definedName name="furn_soft_equip">'Equidam Financials Input'!$N$54:$S$54</definedName>
    <definedName name="furn_soft_equip_depreciation">'Equidam Financials Input'!$N$67:$S$67</definedName>
    <definedName name="initial_training">'Equidam Financials Input'!$N$52:$S$52</definedName>
    <definedName name="insurance">'Equidam Financials Input'!$N$38:$S$38</definedName>
    <definedName name="interest_on_debt">'Equidam Financials Input'!$N$73:$S$73</definedName>
    <definedName name="interest_on_debts">'Equidam Financials Input'!$E$23:$J$23</definedName>
    <definedName name="interest_rate">'[1]BWI Assumption Workings'!$D$58</definedName>
    <definedName name="IT">'Equidam Financials Input'!$N$55:$S$55</definedName>
    <definedName name="maintenance">'Equidam Financials Input'!$N$39:$S$39</definedName>
    <definedName name="management_salary">'Equidam Financials Input'!$N$43:$S$43</definedName>
    <definedName name="misc">'Equidam Financials Input'!$N$59:$S$59</definedName>
    <definedName name="net_income">'Equidam Financials Input'!$N$76:$S$76</definedName>
    <definedName name="net_working_capital">'Equidam Financials Input'!$N$90:$S$90</definedName>
    <definedName name="net_working_capital_t_minus_1">'Equidam Financials Input'!$M$90:$R$90</definedName>
    <definedName name="offices">'Equidam Financials Input'!$N$50:$S$50</definedName>
    <definedName name="operating_cash_flow">'Equidam Financials Input'!#REF!</definedName>
    <definedName name="other_operating_cost">'Equidam Financials Input'!$N$60:$S$60</definedName>
    <definedName name="Postholder_salary">'Equidam Financials Input'!$N$44:$S$44</definedName>
    <definedName name="recurrent_training">'Equidam Financials Input'!$N$53:$S$53</definedName>
    <definedName name="required_capital">'Equidam Financials Input'!$M$6</definedName>
    <definedName name="revenues">'Equidam Financials Input'!$N$35:$S$35</definedName>
    <definedName name="revised_ACMI">'[1]CASH FLOW with Yearly results'!$BO$8:$BT$8</definedName>
    <definedName name="Salary">'Equidam Financials Input'!$N$47:$S$47</definedName>
    <definedName name="spain_corp_tax_rate">'[1]BWI Assumption Workings'!$D$74</definedName>
    <definedName name="start_up_cost_amortization">'Equidam Financials Input'!$N$68:$S$68</definedName>
    <definedName name="subscriptions">'Equidam Financials Input'!$N$56:$S$56</definedName>
    <definedName name="tax">'Equidam Financials Input'!$N$74:$S$74</definedName>
    <definedName name="total_dep_and_amort">'Equidam Financials Input'!$N$69:$S$69</definedName>
    <definedName name="total_operating_expenses">'Equidam Financials Input'!$N$62:$S$62</definedName>
    <definedName name="total_revised_startup_costs">'Equidam Financials Input'!$M$30</definedName>
    <definedName name="total_shareholders_equity">'Equidam Financials Input'!$E$58:$J$58</definedName>
    <definedName name="total_startup_asset_funds">'Equidam Financials Input'!$M$13</definedName>
    <definedName name="travel">'Equidam Financials Input'!$N$57:$S$57</definedName>
    <definedName name="uniform_writeoff_expense">'Equidam Financials Input'!$N$66:$S$66</definedName>
    <definedName name="uniforms">'Equidam Financials Input'!$N$51:$S$51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3" l="1"/>
  <c r="D39" i="3"/>
  <c r="D42" i="3"/>
  <c r="F20" i="8"/>
  <c r="D17" i="8"/>
  <c r="D16" i="8"/>
  <c r="D15" i="8"/>
  <c r="D13" i="8"/>
  <c r="D12" i="8"/>
  <c r="D10" i="8"/>
  <c r="F17" i="2"/>
  <c r="D6" i="8"/>
  <c r="B154" i="4"/>
  <c r="D161" i="4"/>
  <c r="J160" i="4" s="1"/>
  <c r="H169" i="4"/>
  <c r="L169" i="4" s="1"/>
  <c r="I169" i="4"/>
  <c r="J169" i="4"/>
  <c r="K169" i="4"/>
  <c r="B171" i="4"/>
  <c r="B182" i="4"/>
  <c r="B194" i="4"/>
  <c r="G199" i="4"/>
  <c r="H199" i="4"/>
  <c r="I199" i="4"/>
  <c r="J199" i="4"/>
  <c r="K199" i="4" s="1"/>
  <c r="L199" i="4" s="1"/>
  <c r="G203" i="4"/>
  <c r="H203" i="4"/>
  <c r="I203" i="4"/>
  <c r="J203" i="4" s="1"/>
  <c r="K203" i="4" s="1"/>
  <c r="B206" i="4"/>
  <c r="B225" i="4"/>
  <c r="H236" i="4"/>
  <c r="I236" i="4" s="1"/>
  <c r="H237" i="4"/>
  <c r="I237" i="4" s="1"/>
  <c r="J237" i="4" s="1"/>
  <c r="K237" i="4" s="1"/>
  <c r="L237" i="4" s="1"/>
  <c r="B240" i="4"/>
  <c r="G240" i="4"/>
  <c r="H240" i="4"/>
  <c r="I240" i="4"/>
  <c r="J240" i="4"/>
  <c r="J241" i="4" s="1"/>
  <c r="K240" i="4"/>
  <c r="K241" i="4" s="1"/>
  <c r="K239" i="4" s="1"/>
  <c r="L240" i="4"/>
  <c r="L241" i="4" s="1"/>
  <c r="L239" i="4" s="1"/>
  <c r="B250" i="4"/>
  <c r="G19" i="2"/>
  <c r="B19" i="2"/>
  <c r="L105" i="3"/>
  <c r="K105" i="3"/>
  <c r="J105" i="3"/>
  <c r="I105" i="3"/>
  <c r="H105" i="3"/>
  <c r="H91" i="3"/>
  <c r="H81" i="3"/>
  <c r="I81" i="3" s="1"/>
  <c r="H74" i="3"/>
  <c r="H76" i="3" s="1"/>
  <c r="H83" i="3" s="1"/>
  <c r="H87" i="3" s="1"/>
  <c r="I91" i="3" s="1"/>
  <c r="F11" i="2"/>
  <c r="F10" i="2"/>
  <c r="B121" i="3"/>
  <c r="H113" i="3"/>
  <c r="B98" i="3"/>
  <c r="H56" i="3"/>
  <c r="I56" i="3" s="1"/>
  <c r="J56" i="3" s="1"/>
  <c r="K56" i="3" s="1"/>
  <c r="L56" i="3" s="1"/>
  <c r="H59" i="3"/>
  <c r="B67" i="3"/>
  <c r="D29" i="8"/>
  <c r="D28" i="8"/>
  <c r="D27" i="8"/>
  <c r="D26" i="8"/>
  <c r="D25" i="8"/>
  <c r="D24" i="8"/>
  <c r="D23" i="8"/>
  <c r="F13" i="8"/>
  <c r="G13" i="8"/>
  <c r="H13" i="8"/>
  <c r="I13" i="8"/>
  <c r="B17" i="6"/>
  <c r="E13" i="8"/>
  <c r="B3" i="4"/>
  <c r="B3" i="3"/>
  <c r="B3" i="2"/>
  <c r="B2" i="1"/>
  <c r="G51" i="2"/>
  <c r="G13" i="2"/>
  <c r="D5" i="8" s="1"/>
  <c r="H160" i="4" l="1"/>
  <c r="H234" i="4"/>
  <c r="I206" i="4"/>
  <c r="H206" i="4"/>
  <c r="I160" i="4"/>
  <c r="L203" i="4"/>
  <c r="L206" i="4" s="1"/>
  <c r="K206" i="4"/>
  <c r="J236" i="4"/>
  <c r="I234" i="4"/>
  <c r="I241" i="4"/>
  <c r="I239" i="4" s="1"/>
  <c r="J239" i="4"/>
  <c r="J206" i="4"/>
  <c r="H241" i="4"/>
  <c r="H239" i="4" s="1"/>
  <c r="L160" i="4"/>
  <c r="K160" i="4"/>
  <c r="H93" i="3"/>
  <c r="H96" i="3" s="1"/>
  <c r="I74" i="3"/>
  <c r="J81" i="3"/>
  <c r="K81" i="3" s="1"/>
  <c r="L81" i="3" s="1"/>
  <c r="H62" i="3"/>
  <c r="G41" i="2"/>
  <c r="G40" i="2"/>
  <c r="G37" i="2"/>
  <c r="G36" i="2"/>
  <c r="K236" i="4" l="1"/>
  <c r="J234" i="4"/>
  <c r="J74" i="3"/>
  <c r="I76" i="3"/>
  <c r="I83" i="3" s="1"/>
  <c r="I87" i="3" s="1"/>
  <c r="H98" i="3"/>
  <c r="H10" i="2" s="1"/>
  <c r="I59" i="3"/>
  <c r="I62" i="3" s="1"/>
  <c r="H65" i="3"/>
  <c r="H67" i="3" s="1"/>
  <c r="D9" i="6"/>
  <c r="G43" i="2"/>
  <c r="D8" i="8" s="1"/>
  <c r="G65" i="2"/>
  <c r="G32" i="2"/>
  <c r="D7" i="8" s="1"/>
  <c r="F9" i="2"/>
  <c r="F8" i="2"/>
  <c r="H95" i="2"/>
  <c r="L89" i="2"/>
  <c r="K89" i="2"/>
  <c r="J89" i="2"/>
  <c r="I89" i="2"/>
  <c r="L88" i="2"/>
  <c r="K88" i="2"/>
  <c r="J88" i="2"/>
  <c r="I88" i="2"/>
  <c r="H89" i="2"/>
  <c r="H88" i="2"/>
  <c r="L83" i="2"/>
  <c r="K83" i="2"/>
  <c r="J83" i="2"/>
  <c r="I83" i="2"/>
  <c r="H83" i="2"/>
  <c r="F41" i="2"/>
  <c r="F40" i="2"/>
  <c r="F39" i="2"/>
  <c r="F38" i="2"/>
  <c r="F37" i="2"/>
  <c r="F36" i="2"/>
  <c r="F30" i="2"/>
  <c r="F23" i="2"/>
  <c r="F24" i="2"/>
  <c r="F28" i="2"/>
  <c r="F27" i="2"/>
  <c r="F26" i="2"/>
  <c r="F25" i="2"/>
  <c r="K234" i="4" l="1"/>
  <c r="L236" i="4"/>
  <c r="L234" i="4" s="1"/>
  <c r="J91" i="3"/>
  <c r="I93" i="3"/>
  <c r="I96" i="3" s="1"/>
  <c r="I98" i="3" s="1"/>
  <c r="I10" i="2" s="1"/>
  <c r="J76" i="3"/>
  <c r="J83" i="3" s="1"/>
  <c r="J87" i="3" s="1"/>
  <c r="K91" i="3" s="1"/>
  <c r="K74" i="3"/>
  <c r="J59" i="3"/>
  <c r="J62" i="3" s="1"/>
  <c r="I65" i="3"/>
  <c r="I67" i="3" s="1"/>
  <c r="G46" i="2"/>
  <c r="H23" i="6"/>
  <c r="J93" i="3" l="1"/>
  <c r="J96" i="3" s="1"/>
  <c r="J98" i="3" s="1"/>
  <c r="J10" i="2" s="1"/>
  <c r="K76" i="3"/>
  <c r="K83" i="3" s="1"/>
  <c r="K87" i="3" s="1"/>
  <c r="L91" i="3" s="1"/>
  <c r="L74" i="3"/>
  <c r="L76" i="3" s="1"/>
  <c r="L83" i="3" s="1"/>
  <c r="L87" i="3" s="1"/>
  <c r="J65" i="3"/>
  <c r="J67" i="3" s="1"/>
  <c r="K59" i="3"/>
  <c r="K62" i="3" s="1"/>
  <c r="E10" i="8"/>
  <c r="G53" i="2"/>
  <c r="G60" i="2" s="1"/>
  <c r="G67" i="2" s="1"/>
  <c r="H50" i="2"/>
  <c r="H20" i="6"/>
  <c r="L93" i="3" l="1"/>
  <c r="L96" i="3" s="1"/>
  <c r="K93" i="3"/>
  <c r="K96" i="3" s="1"/>
  <c r="K98" i="3"/>
  <c r="K10" i="2" s="1"/>
  <c r="L98" i="3"/>
  <c r="L10" i="2" s="1"/>
  <c r="K65" i="3"/>
  <c r="K67" i="3" s="1"/>
  <c r="L59" i="3"/>
  <c r="L62" i="3" s="1"/>
  <c r="L65" i="3" s="1"/>
  <c r="L67" i="3" s="1"/>
  <c r="F10" i="8"/>
  <c r="I20" i="6"/>
  <c r="G10" i="8"/>
  <c r="I50" i="2"/>
  <c r="H40" i="2"/>
  <c r="I23" i="6"/>
  <c r="J23" i="6" s="1"/>
  <c r="K23" i="6" s="1"/>
  <c r="L23" i="6" s="1"/>
  <c r="H10" i="8" l="1"/>
  <c r="J50" i="2"/>
  <c r="J20" i="6"/>
  <c r="I40" i="2"/>
  <c r="K50" i="2" l="1"/>
  <c r="K51" i="2" s="1"/>
  <c r="K20" i="6"/>
  <c r="J40" i="2"/>
  <c r="L59" i="6"/>
  <c r="I19" i="8" s="1"/>
  <c r="K59" i="6"/>
  <c r="H19" i="8" s="1"/>
  <c r="J59" i="6"/>
  <c r="G19" i="8" s="1"/>
  <c r="I59" i="6"/>
  <c r="F19" i="8" s="1"/>
  <c r="H59" i="6"/>
  <c r="E19" i="8" s="1"/>
  <c r="L52" i="6"/>
  <c r="I21" i="8" s="1"/>
  <c r="K52" i="6"/>
  <c r="H21" i="8" s="1"/>
  <c r="J52" i="6"/>
  <c r="G21" i="8" s="1"/>
  <c r="I52" i="6"/>
  <c r="F21" i="8" s="1"/>
  <c r="H52" i="6"/>
  <c r="E21" i="8" s="1"/>
  <c r="H43" i="6"/>
  <c r="L42" i="6"/>
  <c r="L45" i="6" s="1"/>
  <c r="I20" i="8" s="1"/>
  <c r="K42" i="6"/>
  <c r="K45" i="6" s="1"/>
  <c r="H20" i="8" s="1"/>
  <c r="J42" i="6"/>
  <c r="J45" i="6" s="1"/>
  <c r="G20" i="8" s="1"/>
  <c r="I42" i="6"/>
  <c r="I45" i="6" s="1"/>
  <c r="H42" i="6"/>
  <c r="H45" i="6" s="1"/>
  <c r="E20" i="8" s="1"/>
  <c r="B36" i="6"/>
  <c r="B11" i="6"/>
  <c r="L3" i="6"/>
  <c r="L55" i="6" s="1"/>
  <c r="K3" i="6"/>
  <c r="K55" i="6" s="1"/>
  <c r="J3" i="6"/>
  <c r="J55" i="6" s="1"/>
  <c r="I3" i="6"/>
  <c r="I55" i="6" s="1"/>
  <c r="H3" i="6"/>
  <c r="H55" i="6" s="1"/>
  <c r="B129" i="4"/>
  <c r="B122" i="4"/>
  <c r="B121" i="4"/>
  <c r="B118" i="4"/>
  <c r="B117" i="4"/>
  <c r="B106" i="4"/>
  <c r="B105" i="4"/>
  <c r="B83" i="4"/>
  <c r="B82" i="4"/>
  <c r="H67" i="4"/>
  <c r="B62" i="4"/>
  <c r="B61" i="4"/>
  <c r="H46" i="4"/>
  <c r="I46" i="4" s="1"/>
  <c r="B41" i="4"/>
  <c r="B40" i="4"/>
  <c r="B29" i="4"/>
  <c r="B28" i="4"/>
  <c r="L26" i="4"/>
  <c r="K26" i="4"/>
  <c r="J26" i="4"/>
  <c r="I26" i="4"/>
  <c r="H26" i="4"/>
  <c r="L20" i="4"/>
  <c r="K20" i="4"/>
  <c r="J20" i="4"/>
  <c r="I20" i="4"/>
  <c r="H20" i="4"/>
  <c r="H16" i="4"/>
  <c r="L13" i="4"/>
  <c r="K13" i="4"/>
  <c r="J13" i="4"/>
  <c r="I13" i="4"/>
  <c r="H13" i="4"/>
  <c r="H9" i="4"/>
  <c r="I9" i="4" s="1"/>
  <c r="J9" i="4" s="1"/>
  <c r="K9" i="4" s="1"/>
  <c r="L9" i="4" s="1"/>
  <c r="L3" i="4"/>
  <c r="K3" i="4"/>
  <c r="J3" i="4"/>
  <c r="I3" i="4"/>
  <c r="H3" i="4"/>
  <c r="B51" i="3"/>
  <c r="C49" i="3"/>
  <c r="C41" i="3" s="1"/>
  <c r="G41" i="3" s="1"/>
  <c r="C48" i="3"/>
  <c r="C34" i="3" s="1"/>
  <c r="C47" i="3"/>
  <c r="C33" i="3" s="1"/>
  <c r="C46" i="3"/>
  <c r="C38" i="3" s="1"/>
  <c r="G38" i="3" s="1"/>
  <c r="G42" i="3"/>
  <c r="G29" i="3"/>
  <c r="G28" i="3"/>
  <c r="G27" i="3"/>
  <c r="G26" i="3"/>
  <c r="H17" i="3"/>
  <c r="I17" i="3" s="1"/>
  <c r="J17" i="3" s="1"/>
  <c r="K17" i="3" s="1"/>
  <c r="L17" i="3" s="1"/>
  <c r="H10" i="3"/>
  <c r="H148" i="4" s="1"/>
  <c r="H149" i="4" s="1"/>
  <c r="L3" i="3"/>
  <c r="K3" i="3"/>
  <c r="K100" i="3" s="1"/>
  <c r="J3" i="3"/>
  <c r="J100" i="3" s="1"/>
  <c r="I3" i="3"/>
  <c r="I100" i="3" s="1"/>
  <c r="H3" i="3"/>
  <c r="H100" i="3" s="1"/>
  <c r="I1" i="3"/>
  <c r="J84" i="2"/>
  <c r="I84" i="2"/>
  <c r="H84" i="2"/>
  <c r="B84" i="2"/>
  <c r="L84" i="2"/>
  <c r="K84" i="2"/>
  <c r="G73" i="2"/>
  <c r="B65" i="2"/>
  <c r="B58" i="2"/>
  <c r="B51" i="2"/>
  <c r="J51" i="2"/>
  <c r="I51" i="2"/>
  <c r="H51" i="2"/>
  <c r="B43" i="2"/>
  <c r="B32" i="2"/>
  <c r="G5" i="2"/>
  <c r="J218" i="4" l="1"/>
  <c r="K218" i="4"/>
  <c r="L218" i="4"/>
  <c r="J132" i="4"/>
  <c r="J145" i="4"/>
  <c r="L132" i="4"/>
  <c r="L145" i="4"/>
  <c r="K145" i="4"/>
  <c r="K132" i="4"/>
  <c r="I16" i="4"/>
  <c r="H17" i="2"/>
  <c r="H19" i="2" s="1"/>
  <c r="E6" i="8" s="1"/>
  <c r="H145" i="4"/>
  <c r="H132" i="4"/>
  <c r="I145" i="4"/>
  <c r="I132" i="4"/>
  <c r="H218" i="4"/>
  <c r="I218" i="4"/>
  <c r="L69" i="3"/>
  <c r="L100" i="3"/>
  <c r="H53" i="3"/>
  <c r="H69" i="3"/>
  <c r="K53" i="3"/>
  <c r="K69" i="3"/>
  <c r="I53" i="3"/>
  <c r="I69" i="3"/>
  <c r="J53" i="3"/>
  <c r="J69" i="3"/>
  <c r="L5" i="3"/>
  <c r="L53" i="3"/>
  <c r="L50" i="2"/>
  <c r="L51" i="2" s="1"/>
  <c r="L76" i="2" s="1"/>
  <c r="I10" i="8"/>
  <c r="K76" i="2"/>
  <c r="J76" i="2"/>
  <c r="H76" i="2"/>
  <c r="I76" i="2"/>
  <c r="C32" i="3"/>
  <c r="I43" i="6"/>
  <c r="H87" i="2"/>
  <c r="H90" i="2" s="1"/>
  <c r="H26" i="6"/>
  <c r="L20" i="6"/>
  <c r="I23" i="4"/>
  <c r="I28" i="4"/>
  <c r="J23" i="4"/>
  <c r="J28" i="4"/>
  <c r="H23" i="4"/>
  <c r="H29" i="4" s="1"/>
  <c r="H23" i="2" s="1"/>
  <c r="H28" i="4"/>
  <c r="L23" i="4"/>
  <c r="L28" i="4"/>
  <c r="K23" i="4"/>
  <c r="K28" i="4"/>
  <c r="L40" i="2"/>
  <c r="K40" i="2"/>
  <c r="K6" i="6"/>
  <c r="L6" i="6"/>
  <c r="K5" i="3"/>
  <c r="J31" i="6"/>
  <c r="K31" i="6"/>
  <c r="C40" i="3"/>
  <c r="G40" i="3" s="1"/>
  <c r="L31" i="6"/>
  <c r="J6" i="6"/>
  <c r="H57" i="2"/>
  <c r="H58" i="2" s="1"/>
  <c r="I6" i="4"/>
  <c r="K6" i="4"/>
  <c r="H12" i="3"/>
  <c r="H19" i="3" s="1"/>
  <c r="C35" i="3"/>
  <c r="I10" i="3"/>
  <c r="I148" i="4" s="1"/>
  <c r="I149" i="4" s="1"/>
  <c r="C39" i="3"/>
  <c r="G39" i="3" s="1"/>
  <c r="L6" i="4"/>
  <c r="H5" i="3"/>
  <c r="J46" i="4"/>
  <c r="I5" i="3"/>
  <c r="J6" i="4"/>
  <c r="I50" i="4"/>
  <c r="J5" i="3"/>
  <c r="I67" i="4"/>
  <c r="H6" i="6"/>
  <c r="H31" i="6"/>
  <c r="I6" i="6"/>
  <c r="I31" i="6"/>
  <c r="H50" i="4"/>
  <c r="H6" i="4"/>
  <c r="H71" i="4"/>
  <c r="H103" i="3" s="1"/>
  <c r="H107" i="3" s="1"/>
  <c r="H110" i="3" s="1"/>
  <c r="H116" i="3" s="1"/>
  <c r="J16" i="4" l="1"/>
  <c r="J29" i="4" s="1"/>
  <c r="J23" i="2" s="1"/>
  <c r="I17" i="2"/>
  <c r="I19" i="2" s="1"/>
  <c r="F6" i="8" s="1"/>
  <c r="I29" i="4"/>
  <c r="I23" i="2" s="1"/>
  <c r="H119" i="3"/>
  <c r="H121" i="3" s="1"/>
  <c r="H11" i="2" s="1"/>
  <c r="I113" i="3"/>
  <c r="E12" i="8"/>
  <c r="J43" i="6"/>
  <c r="I87" i="2"/>
  <c r="I90" i="2" s="1"/>
  <c r="I26" i="6"/>
  <c r="H77" i="4"/>
  <c r="H79" i="4" s="1"/>
  <c r="H80" i="4" s="1"/>
  <c r="H23" i="3"/>
  <c r="J50" i="4"/>
  <c r="K46" i="4"/>
  <c r="J10" i="3"/>
  <c r="J148" i="4" s="1"/>
  <c r="J149" i="4" s="1"/>
  <c r="I12" i="3"/>
  <c r="I19" i="3" s="1"/>
  <c r="H9" i="2"/>
  <c r="I71" i="4"/>
  <c r="I103" i="3" s="1"/>
  <c r="I107" i="3" s="1"/>
  <c r="I110" i="3" s="1"/>
  <c r="J67" i="4"/>
  <c r="K16" i="4" l="1"/>
  <c r="J17" i="2"/>
  <c r="J19" i="2" s="1"/>
  <c r="G6" i="8" s="1"/>
  <c r="I116" i="3"/>
  <c r="I57" i="2"/>
  <c r="I58" i="2" s="1"/>
  <c r="K43" i="6"/>
  <c r="J87" i="2"/>
  <c r="J90" i="2" s="1"/>
  <c r="J26" i="6"/>
  <c r="H83" i="4"/>
  <c r="H26" i="2" s="1"/>
  <c r="I9" i="2"/>
  <c r="I77" i="4"/>
  <c r="I79" i="4" s="1"/>
  <c r="I23" i="3"/>
  <c r="I28" i="3" s="1"/>
  <c r="J71" i="4"/>
  <c r="J103" i="3" s="1"/>
  <c r="J107" i="3" s="1"/>
  <c r="J110" i="3" s="1"/>
  <c r="K67" i="4"/>
  <c r="H82" i="4"/>
  <c r="K50" i="4"/>
  <c r="L46" i="4"/>
  <c r="H56" i="4"/>
  <c r="H58" i="4" s="1"/>
  <c r="H27" i="3"/>
  <c r="H28" i="3"/>
  <c r="H100" i="4"/>
  <c r="H103" i="4" s="1"/>
  <c r="H26" i="3"/>
  <c r="H29" i="3"/>
  <c r="K10" i="3"/>
  <c r="K148" i="4" s="1"/>
  <c r="K149" i="4" s="1"/>
  <c r="J12" i="3"/>
  <c r="J19" i="3" s="1"/>
  <c r="L16" i="4" l="1"/>
  <c r="K17" i="2"/>
  <c r="K19" i="2" s="1"/>
  <c r="H6" i="8" s="1"/>
  <c r="K29" i="4"/>
  <c r="K23" i="2" s="1"/>
  <c r="I119" i="3"/>
  <c r="I121" i="3" s="1"/>
  <c r="I11" i="2" s="1"/>
  <c r="J113" i="3"/>
  <c r="J116" i="3" s="1"/>
  <c r="F12" i="8"/>
  <c r="J57" i="2"/>
  <c r="J58" i="2" s="1"/>
  <c r="L43" i="6"/>
  <c r="K87" i="2"/>
  <c r="K90" i="2" s="1"/>
  <c r="K26" i="6"/>
  <c r="H59" i="4"/>
  <c r="H62" i="4" s="1"/>
  <c r="H25" i="2" s="1"/>
  <c r="I80" i="4"/>
  <c r="I83" i="4" s="1"/>
  <c r="I26" i="2" s="1"/>
  <c r="J9" i="2"/>
  <c r="H34" i="3"/>
  <c r="H40" i="3" s="1"/>
  <c r="H48" i="3" s="1"/>
  <c r="I82" i="4"/>
  <c r="K71" i="4"/>
  <c r="K103" i="3" s="1"/>
  <c r="K107" i="3" s="1"/>
  <c r="K110" i="3" s="1"/>
  <c r="L67" i="4"/>
  <c r="H35" i="3"/>
  <c r="H41" i="3" s="1"/>
  <c r="H49" i="3" s="1"/>
  <c r="J23" i="3"/>
  <c r="J77" i="4"/>
  <c r="J79" i="4" s="1"/>
  <c r="H32" i="3"/>
  <c r="H38" i="3" s="1"/>
  <c r="H46" i="3" s="1"/>
  <c r="H61" i="4"/>
  <c r="K12" i="3"/>
  <c r="K19" i="3" s="1"/>
  <c r="L10" i="3"/>
  <c r="L148" i="4" s="1"/>
  <c r="L149" i="4" s="1"/>
  <c r="H102" i="4"/>
  <c r="H33" i="3"/>
  <c r="H39" i="3" s="1"/>
  <c r="H47" i="3" s="1"/>
  <c r="I100" i="4"/>
  <c r="I103" i="4" s="1"/>
  <c r="I56" i="4"/>
  <c r="I58" i="4" s="1"/>
  <c r="I27" i="3"/>
  <c r="I26" i="3"/>
  <c r="I29" i="3"/>
  <c r="L50" i="4"/>
  <c r="L17" i="2" l="1"/>
  <c r="L19" i="2" s="1"/>
  <c r="I6" i="8" s="1"/>
  <c r="L29" i="4"/>
  <c r="L23" i="2" s="1"/>
  <c r="K113" i="3"/>
  <c r="K116" i="3" s="1"/>
  <c r="J119" i="3"/>
  <c r="J121" i="3" s="1"/>
  <c r="J11" i="2" s="1"/>
  <c r="G12" i="8"/>
  <c r="K57" i="2"/>
  <c r="K58" i="2" s="1"/>
  <c r="L87" i="2"/>
  <c r="L90" i="2" s="1"/>
  <c r="L26" i="6"/>
  <c r="I59" i="4"/>
  <c r="I62" i="4" s="1"/>
  <c r="I25" i="2" s="1"/>
  <c r="J80" i="4"/>
  <c r="J83" i="4" s="1"/>
  <c r="J26" i="2" s="1"/>
  <c r="J82" i="4"/>
  <c r="I33" i="3"/>
  <c r="I39" i="3" s="1"/>
  <c r="I47" i="3" s="1"/>
  <c r="I35" i="3"/>
  <c r="I41" i="3" s="1"/>
  <c r="I49" i="3" s="1"/>
  <c r="I34" i="3"/>
  <c r="I40" i="3" s="1"/>
  <c r="I48" i="3" s="1"/>
  <c r="I102" i="4"/>
  <c r="H42" i="3"/>
  <c r="H135" i="4" s="1"/>
  <c r="H137" i="4" s="1"/>
  <c r="H138" i="4" s="1"/>
  <c r="H142" i="4" s="1"/>
  <c r="I32" i="3"/>
  <c r="J28" i="3"/>
  <c r="J100" i="4"/>
  <c r="J103" i="4" s="1"/>
  <c r="J56" i="4"/>
  <c r="J58" i="4" s="1"/>
  <c r="J27" i="3"/>
  <c r="J26" i="3"/>
  <c r="J29" i="3"/>
  <c r="L71" i="4"/>
  <c r="L103" i="3" s="1"/>
  <c r="L107" i="3" s="1"/>
  <c r="L110" i="3" s="1"/>
  <c r="K77" i="4"/>
  <c r="K79" i="4" s="1"/>
  <c r="K23" i="3"/>
  <c r="K9" i="2"/>
  <c r="L9" i="2"/>
  <c r="I61" i="4"/>
  <c r="L12" i="3"/>
  <c r="L19" i="3" s="1"/>
  <c r="K119" i="3" l="1"/>
  <c r="K121" i="3" s="1"/>
  <c r="K11" i="2" s="1"/>
  <c r="L113" i="3"/>
  <c r="L116" i="3" s="1"/>
  <c r="H12" i="8"/>
  <c r="L57" i="2"/>
  <c r="L58" i="2" s="1"/>
  <c r="J59" i="4"/>
  <c r="J62" i="4" s="1"/>
  <c r="J25" i="2" s="1"/>
  <c r="K80" i="4"/>
  <c r="K83" i="4" s="1"/>
  <c r="K26" i="2" s="1"/>
  <c r="K82" i="4"/>
  <c r="H51" i="3"/>
  <c r="H123" i="3" s="1"/>
  <c r="J35" i="3"/>
  <c r="J41" i="3" s="1"/>
  <c r="J49" i="3" s="1"/>
  <c r="J33" i="3"/>
  <c r="J39" i="3" s="1"/>
  <c r="J47" i="3" s="1"/>
  <c r="J34" i="3"/>
  <c r="J40" i="3" s="1"/>
  <c r="J48" i="3" s="1"/>
  <c r="J61" i="4"/>
  <c r="H91" i="4"/>
  <c r="H114" i="4"/>
  <c r="H115" i="4" s="1"/>
  <c r="L77" i="4"/>
  <c r="L79" i="4" s="1"/>
  <c r="L23" i="3"/>
  <c r="J102" i="4"/>
  <c r="I38" i="3"/>
  <c r="I46" i="3" s="1"/>
  <c r="K56" i="4"/>
  <c r="K58" i="4" s="1"/>
  <c r="K100" i="4"/>
  <c r="K103" i="4" s="1"/>
  <c r="K28" i="3"/>
  <c r="K26" i="3"/>
  <c r="K27" i="3"/>
  <c r="K29" i="3"/>
  <c r="H13" i="2" l="1"/>
  <c r="H20" i="2" s="1"/>
  <c r="H215" i="4"/>
  <c r="H180" i="4"/>
  <c r="H223" i="4"/>
  <c r="H176" i="4"/>
  <c r="H152" i="4"/>
  <c r="H154" i="4" s="1"/>
  <c r="H155" i="4" s="1"/>
  <c r="H188" i="4"/>
  <c r="H207" i="4"/>
  <c r="H139" i="4"/>
  <c r="H143" i="4"/>
  <c r="L119" i="3"/>
  <c r="L121" i="3" s="1"/>
  <c r="L11" i="2" s="1"/>
  <c r="I12" i="8"/>
  <c r="H8" i="2"/>
  <c r="H94" i="4"/>
  <c r="H106" i="4" s="1"/>
  <c r="H37" i="4"/>
  <c r="H38" i="4" s="1"/>
  <c r="K59" i="4"/>
  <c r="K62" i="4" s="1"/>
  <c r="K25" i="2" s="1"/>
  <c r="L80" i="4"/>
  <c r="L83" i="4" s="1"/>
  <c r="L26" i="2" s="1"/>
  <c r="L82" i="4"/>
  <c r="K33" i="3"/>
  <c r="K39" i="3" s="1"/>
  <c r="K47" i="3" s="1"/>
  <c r="K34" i="3"/>
  <c r="K40" i="3" s="1"/>
  <c r="K48" i="3" s="1"/>
  <c r="K35" i="3"/>
  <c r="K41" i="3" s="1"/>
  <c r="K49" i="3" s="1"/>
  <c r="K61" i="4"/>
  <c r="I51" i="3"/>
  <c r="I123" i="3" s="1"/>
  <c r="J32" i="3"/>
  <c r="I42" i="3"/>
  <c r="I135" i="4" s="1"/>
  <c r="I137" i="4" s="1"/>
  <c r="I138" i="4" s="1"/>
  <c r="I142" i="4" s="1"/>
  <c r="H117" i="4"/>
  <c r="H118" i="4"/>
  <c r="K102" i="4"/>
  <c r="H93" i="4"/>
  <c r="H105" i="4" s="1"/>
  <c r="L100" i="4"/>
  <c r="L103" i="4" s="1"/>
  <c r="L26" i="3"/>
  <c r="L56" i="4"/>
  <c r="L58" i="4" s="1"/>
  <c r="L28" i="3"/>
  <c r="L29" i="3"/>
  <c r="L27" i="3"/>
  <c r="I13" i="2" l="1"/>
  <c r="I20" i="2" s="1"/>
  <c r="I223" i="4"/>
  <c r="I188" i="4"/>
  <c r="I215" i="4"/>
  <c r="I152" i="4"/>
  <c r="I154" i="4" s="1"/>
  <c r="I155" i="4" s="1"/>
  <c r="I176" i="4"/>
  <c r="I180" i="4"/>
  <c r="I207" i="4"/>
  <c r="I139" i="4"/>
  <c r="I143" i="4"/>
  <c r="H182" i="4"/>
  <c r="H183" i="4" s="1"/>
  <c r="H11" i="6"/>
  <c r="E15" i="8" s="1"/>
  <c r="H17" i="6"/>
  <c r="E5" i="8"/>
  <c r="H30" i="4"/>
  <c r="H84" i="4"/>
  <c r="H63" i="4"/>
  <c r="I11" i="6"/>
  <c r="F15" i="8" s="1"/>
  <c r="I8" i="2"/>
  <c r="H119" i="4"/>
  <c r="H28" i="2"/>
  <c r="H107" i="4"/>
  <c r="H27" i="2"/>
  <c r="L59" i="4"/>
  <c r="L62" i="4" s="1"/>
  <c r="L25" i="2" s="1"/>
  <c r="L35" i="3"/>
  <c r="L41" i="3" s="1"/>
  <c r="L49" i="3" s="1"/>
  <c r="L33" i="3"/>
  <c r="L39" i="3" s="1"/>
  <c r="L47" i="3" s="1"/>
  <c r="L34" i="3"/>
  <c r="L40" i="3" s="1"/>
  <c r="L48" i="3" s="1"/>
  <c r="H41" i="4"/>
  <c r="H24" i="2" s="1"/>
  <c r="H40" i="4"/>
  <c r="H121" i="4" s="1"/>
  <c r="L102" i="4"/>
  <c r="I91" i="4"/>
  <c r="I114" i="4"/>
  <c r="I115" i="4" s="1"/>
  <c r="L61" i="4"/>
  <c r="J38" i="3"/>
  <c r="J46" i="3" s="1"/>
  <c r="I182" i="4" l="1"/>
  <c r="I183" i="4" s="1"/>
  <c r="H211" i="4"/>
  <c r="H165" i="4"/>
  <c r="H171" i="4" s="1"/>
  <c r="H172" i="4" s="1"/>
  <c r="H219" i="4"/>
  <c r="H220" i="4" s="1"/>
  <c r="H192" i="4"/>
  <c r="H194" i="4" s="1"/>
  <c r="H195" i="4" s="1"/>
  <c r="H77" i="2"/>
  <c r="F5" i="8"/>
  <c r="I17" i="6"/>
  <c r="H78" i="2"/>
  <c r="E16" i="8"/>
  <c r="H38" i="2"/>
  <c r="I84" i="4"/>
  <c r="I30" i="4"/>
  <c r="I63" i="4"/>
  <c r="H36" i="2"/>
  <c r="I77" i="2"/>
  <c r="I94" i="4"/>
  <c r="I106" i="4" s="1"/>
  <c r="I37" i="4"/>
  <c r="I38" i="4" s="1"/>
  <c r="H14" i="2"/>
  <c r="J51" i="3"/>
  <c r="J123" i="3" s="1"/>
  <c r="J42" i="3"/>
  <c r="J135" i="4" s="1"/>
  <c r="J137" i="4" s="1"/>
  <c r="J138" i="4" s="1"/>
  <c r="J142" i="4" s="1"/>
  <c r="K32" i="3"/>
  <c r="I93" i="4"/>
  <c r="I105" i="4" s="1"/>
  <c r="H42" i="4"/>
  <c r="H122" i="4"/>
  <c r="H127" i="4" s="1"/>
  <c r="H30" i="2" s="1"/>
  <c r="H32" i="2" s="1"/>
  <c r="I117" i="4"/>
  <c r="I118" i="4"/>
  <c r="H225" i="4" l="1"/>
  <c r="H228" i="4" s="1"/>
  <c r="H229" i="4" s="1"/>
  <c r="J13" i="2"/>
  <c r="J20" i="2" s="1"/>
  <c r="J180" i="4"/>
  <c r="J176" i="4"/>
  <c r="J223" i="4"/>
  <c r="J215" i="4"/>
  <c r="J188" i="4"/>
  <c r="J152" i="4"/>
  <c r="J154" i="4" s="1"/>
  <c r="J155" i="4" s="1"/>
  <c r="J207" i="4"/>
  <c r="J139" i="4"/>
  <c r="J143" i="4"/>
  <c r="I78" i="2"/>
  <c r="F16" i="8"/>
  <c r="I38" i="2"/>
  <c r="H33" i="2"/>
  <c r="J8" i="2"/>
  <c r="I36" i="2"/>
  <c r="I119" i="4"/>
  <c r="I28" i="2"/>
  <c r="I107" i="4"/>
  <c r="I27" i="2"/>
  <c r="H37" i="2"/>
  <c r="H39" i="2"/>
  <c r="I14" i="2"/>
  <c r="J114" i="4"/>
  <c r="J115" i="4" s="1"/>
  <c r="J91" i="4"/>
  <c r="H129" i="4"/>
  <c r="H123" i="4"/>
  <c r="I40" i="4"/>
  <c r="I121" i="4" s="1"/>
  <c r="I41" i="4"/>
  <c r="I24" i="2" s="1"/>
  <c r="K38" i="3"/>
  <c r="K46" i="3" s="1"/>
  <c r="H226" i="4" l="1"/>
  <c r="I219" i="4"/>
  <c r="I220" i="4" s="1"/>
  <c r="I165" i="4"/>
  <c r="I171" i="4" s="1"/>
  <c r="I172" i="4" s="1"/>
  <c r="I211" i="4"/>
  <c r="I192" i="4"/>
  <c r="I194" i="4" s="1"/>
  <c r="I195" i="4" s="1"/>
  <c r="E7" i="8"/>
  <c r="H231" i="4"/>
  <c r="J182" i="4"/>
  <c r="J183" i="4" s="1"/>
  <c r="G5" i="8"/>
  <c r="J17" i="6"/>
  <c r="J11" i="6"/>
  <c r="J63" i="4"/>
  <c r="J84" i="4"/>
  <c r="J30" i="4"/>
  <c r="H41" i="2"/>
  <c r="J94" i="4"/>
  <c r="J106" i="4" s="1"/>
  <c r="J37" i="4"/>
  <c r="J38" i="4" s="1"/>
  <c r="I42" i="4"/>
  <c r="I122" i="4"/>
  <c r="I127" i="4" s="1"/>
  <c r="I30" i="2" s="1"/>
  <c r="I32" i="2" s="1"/>
  <c r="H130" i="4"/>
  <c r="J117" i="4"/>
  <c r="J118" i="4"/>
  <c r="E8" i="8"/>
  <c r="K51" i="3"/>
  <c r="K123" i="3" s="1"/>
  <c r="L32" i="3"/>
  <c r="K42" i="3"/>
  <c r="K135" i="4" s="1"/>
  <c r="K137" i="4" s="1"/>
  <c r="K138" i="4" s="1"/>
  <c r="K142" i="4" s="1"/>
  <c r="J93" i="4"/>
  <c r="J105" i="4" s="1"/>
  <c r="H232" i="4" l="1"/>
  <c r="H243" i="4"/>
  <c r="K13" i="2"/>
  <c r="K20" i="2" s="1"/>
  <c r="K180" i="4"/>
  <c r="K223" i="4"/>
  <c r="K176" i="4"/>
  <c r="K152" i="4"/>
  <c r="K154" i="4" s="1"/>
  <c r="K155" i="4" s="1"/>
  <c r="K215" i="4"/>
  <c r="K188" i="4"/>
  <c r="K139" i="4"/>
  <c r="K207" i="4"/>
  <c r="K143" i="4"/>
  <c r="I225" i="4"/>
  <c r="J78" i="2"/>
  <c r="G16" i="8"/>
  <c r="J77" i="2"/>
  <c r="G15" i="8"/>
  <c r="J38" i="2"/>
  <c r="I33" i="2"/>
  <c r="K8" i="2"/>
  <c r="H43" i="2"/>
  <c r="H46" i="2" s="1"/>
  <c r="J36" i="2"/>
  <c r="J119" i="4"/>
  <c r="J28" i="2"/>
  <c r="J107" i="4"/>
  <c r="J27" i="2"/>
  <c r="I39" i="2"/>
  <c r="I37" i="2"/>
  <c r="H36" i="6"/>
  <c r="E17" i="8" s="1"/>
  <c r="I129" i="4"/>
  <c r="I123" i="4"/>
  <c r="K91" i="4"/>
  <c r="K114" i="4"/>
  <c r="K115" i="4" s="1"/>
  <c r="J40" i="4"/>
  <c r="J121" i="4" s="1"/>
  <c r="J41" i="4"/>
  <c r="J24" i="2" s="1"/>
  <c r="J14" i="2"/>
  <c r="L38" i="3"/>
  <c r="L46" i="3" s="1"/>
  <c r="K182" i="4" l="1"/>
  <c r="K183" i="4" s="1"/>
  <c r="I226" i="4"/>
  <c r="I228" i="4"/>
  <c r="I229" i="4" s="1"/>
  <c r="J219" i="4"/>
  <c r="J220" i="4" s="1"/>
  <c r="J211" i="4"/>
  <c r="J165" i="4"/>
  <c r="J171" i="4" s="1"/>
  <c r="J172" i="4" s="1"/>
  <c r="J192" i="4"/>
  <c r="J194" i="4" s="1"/>
  <c r="J195" i="4" s="1"/>
  <c r="F7" i="8"/>
  <c r="H244" i="4"/>
  <c r="H247" i="4"/>
  <c r="H248" i="4" s="1"/>
  <c r="H250" i="4" s="1"/>
  <c r="H251" i="4" s="1"/>
  <c r="K17" i="6"/>
  <c r="H5" i="8"/>
  <c r="H44" i="2"/>
  <c r="K30" i="4"/>
  <c r="K11" i="6"/>
  <c r="H15" i="8" s="1"/>
  <c r="K84" i="4"/>
  <c r="K63" i="4"/>
  <c r="H79" i="2"/>
  <c r="I41" i="2"/>
  <c r="H53" i="2"/>
  <c r="H47" i="2"/>
  <c r="K94" i="4"/>
  <c r="K106" i="4" s="1"/>
  <c r="K37" i="4"/>
  <c r="K38" i="4" s="1"/>
  <c r="L51" i="3"/>
  <c r="L123" i="3" s="1"/>
  <c r="L42" i="3"/>
  <c r="L135" i="4" s="1"/>
  <c r="L137" i="4" s="1"/>
  <c r="L138" i="4" s="1"/>
  <c r="L142" i="4" s="1"/>
  <c r="K117" i="4"/>
  <c r="K118" i="4"/>
  <c r="J42" i="4"/>
  <c r="J122" i="4"/>
  <c r="J127" i="4" s="1"/>
  <c r="J30" i="2" s="1"/>
  <c r="J32" i="2" s="1"/>
  <c r="I130" i="4"/>
  <c r="K93" i="4"/>
  <c r="K105" i="4" s="1"/>
  <c r="K38" i="2" l="1"/>
  <c r="F8" i="8"/>
  <c r="I231" i="4"/>
  <c r="J225" i="4"/>
  <c r="L13" i="2"/>
  <c r="L20" i="2" s="1"/>
  <c r="L215" i="4"/>
  <c r="L180" i="4"/>
  <c r="L176" i="4"/>
  <c r="L223" i="4"/>
  <c r="L152" i="4"/>
  <c r="L154" i="4" s="1"/>
  <c r="L155" i="4" s="1"/>
  <c r="L188" i="4"/>
  <c r="L139" i="4"/>
  <c r="L207" i="4"/>
  <c r="L143" i="4"/>
  <c r="H253" i="4"/>
  <c r="H254" i="4" s="1"/>
  <c r="K78" i="2"/>
  <c r="H16" i="8"/>
  <c r="K77" i="2"/>
  <c r="J33" i="2"/>
  <c r="L8" i="2"/>
  <c r="I43" i="2"/>
  <c r="I46" i="2" s="1"/>
  <c r="K36" i="2"/>
  <c r="K119" i="4"/>
  <c r="K28" i="2"/>
  <c r="K107" i="4"/>
  <c r="K27" i="2"/>
  <c r="J37" i="2"/>
  <c r="J39" i="2"/>
  <c r="H60" i="2"/>
  <c r="H54" i="2"/>
  <c r="I36" i="6"/>
  <c r="F17" i="8" s="1"/>
  <c r="K14" i="2"/>
  <c r="K41" i="4"/>
  <c r="K24" i="2" s="1"/>
  <c r="K40" i="4"/>
  <c r="K121" i="4" s="1"/>
  <c r="L91" i="4"/>
  <c r="L114" i="4"/>
  <c r="L115" i="4" s="1"/>
  <c r="J129" i="4"/>
  <c r="J123" i="4"/>
  <c r="G7" i="8" l="1"/>
  <c r="K219" i="4"/>
  <c r="K220" i="4" s="1"/>
  <c r="K165" i="4"/>
  <c r="K171" i="4" s="1"/>
  <c r="K172" i="4" s="1"/>
  <c r="K211" i="4"/>
  <c r="K192" i="4"/>
  <c r="K194" i="4" s="1"/>
  <c r="K195" i="4" s="1"/>
  <c r="L182" i="4"/>
  <c r="L183" i="4" s="1"/>
  <c r="J228" i="4"/>
  <c r="J229" i="4" s="1"/>
  <c r="J226" i="4"/>
  <c r="I232" i="4"/>
  <c r="I243" i="4"/>
  <c r="L11" i="6"/>
  <c r="I15" i="8" s="1"/>
  <c r="I5" i="8"/>
  <c r="L17" i="6"/>
  <c r="L30" i="4"/>
  <c r="L63" i="4"/>
  <c r="L84" i="4"/>
  <c r="I44" i="2"/>
  <c r="I79" i="2"/>
  <c r="J41" i="2"/>
  <c r="I47" i="2"/>
  <c r="I53" i="2"/>
  <c r="H64" i="2"/>
  <c r="H65" i="2" s="1"/>
  <c r="H61" i="2"/>
  <c r="L94" i="4"/>
  <c r="L106" i="4" s="1"/>
  <c r="L37" i="4"/>
  <c r="L38" i="4" s="1"/>
  <c r="J130" i="4"/>
  <c r="L93" i="4"/>
  <c r="L105" i="4" s="1"/>
  <c r="L117" i="4"/>
  <c r="L118" i="4"/>
  <c r="K42" i="4"/>
  <c r="K122" i="4"/>
  <c r="K127" i="4" s="1"/>
  <c r="K30" i="2" s="1"/>
  <c r="K32" i="2" s="1"/>
  <c r="J231" i="4" l="1"/>
  <c r="G8" i="8"/>
  <c r="K225" i="4"/>
  <c r="I244" i="4"/>
  <c r="I247" i="4"/>
  <c r="I248" i="4" s="1"/>
  <c r="I250" i="4" s="1"/>
  <c r="I251" i="4" s="1"/>
  <c r="L77" i="2"/>
  <c r="I16" i="8"/>
  <c r="L78" i="2"/>
  <c r="L38" i="2"/>
  <c r="K33" i="2"/>
  <c r="J43" i="2"/>
  <c r="J44" i="2" s="1"/>
  <c r="H67" i="2"/>
  <c r="H75" i="2" s="1"/>
  <c r="H80" i="2" s="1"/>
  <c r="L36" i="2"/>
  <c r="L119" i="4"/>
  <c r="L28" i="2"/>
  <c r="L107" i="4"/>
  <c r="L27" i="2"/>
  <c r="K39" i="2"/>
  <c r="K37" i="2"/>
  <c r="I54" i="2"/>
  <c r="I60" i="2"/>
  <c r="J36" i="6"/>
  <c r="G17" i="8" s="1"/>
  <c r="L40" i="4"/>
  <c r="L121" i="4" s="1"/>
  <c r="L41" i="4"/>
  <c r="L24" i="2" s="1"/>
  <c r="L14" i="2"/>
  <c r="K123" i="4"/>
  <c r="K129" i="4"/>
  <c r="I253" i="4" l="1"/>
  <c r="I254" i="4" s="1"/>
  <c r="K228" i="4"/>
  <c r="K229" i="4" s="1"/>
  <c r="K226" i="4"/>
  <c r="H7" i="8"/>
  <c r="L165" i="4"/>
  <c r="L171" i="4" s="1"/>
  <c r="L172" i="4" s="1"/>
  <c r="L219" i="4"/>
  <c r="L220" i="4" s="1"/>
  <c r="L211" i="4"/>
  <c r="L192" i="4"/>
  <c r="L194" i="4" s="1"/>
  <c r="L195" i="4" s="1"/>
  <c r="J232" i="4"/>
  <c r="J243" i="4"/>
  <c r="J46" i="2"/>
  <c r="J47" i="2" s="1"/>
  <c r="H68" i="2"/>
  <c r="J79" i="2"/>
  <c r="I64" i="2"/>
  <c r="I65" i="2" s="1"/>
  <c r="K41" i="2"/>
  <c r="I61" i="2"/>
  <c r="H92" i="2"/>
  <c r="H96" i="2" s="1"/>
  <c r="H97" i="2" s="1"/>
  <c r="K130" i="4"/>
  <c r="L42" i="4"/>
  <c r="L122" i="4"/>
  <c r="L127" i="4" s="1"/>
  <c r="L30" i="2" s="1"/>
  <c r="L32" i="2" s="1"/>
  <c r="H8" i="8" l="1"/>
  <c r="K231" i="4"/>
  <c r="K232" i="4" s="1"/>
  <c r="L225" i="4"/>
  <c r="L226" i="4" s="1"/>
  <c r="J244" i="4"/>
  <c r="J247" i="4"/>
  <c r="J248" i="4" s="1"/>
  <c r="J250" i="4" s="1"/>
  <c r="J251" i="4" s="1"/>
  <c r="J53" i="2"/>
  <c r="J54" i="2" s="1"/>
  <c r="L33" i="2"/>
  <c r="K43" i="2"/>
  <c r="K44" i="2" s="1"/>
  <c r="I67" i="2"/>
  <c r="I68" i="2" s="1"/>
  <c r="L37" i="2"/>
  <c r="L39" i="2"/>
  <c r="I95" i="2"/>
  <c r="K36" i="6"/>
  <c r="H17" i="8" s="1"/>
  <c r="L123" i="4"/>
  <c r="L129" i="4"/>
  <c r="K243" i="4" l="1"/>
  <c r="K247" i="4" s="1"/>
  <c r="K248" i="4" s="1"/>
  <c r="K250" i="4" s="1"/>
  <c r="K251" i="4" s="1"/>
  <c r="L228" i="4"/>
  <c r="L229" i="4" s="1"/>
  <c r="J253" i="4"/>
  <c r="J254" i="4" s="1"/>
  <c r="I7" i="8"/>
  <c r="J60" i="2"/>
  <c r="J61" i="2" s="1"/>
  <c r="K46" i="2"/>
  <c r="K47" i="2" s="1"/>
  <c r="I75" i="2"/>
  <c r="I80" i="2" s="1"/>
  <c r="I92" i="2" s="1"/>
  <c r="I96" i="2" s="1"/>
  <c r="I97" i="2" s="1"/>
  <c r="K79" i="2"/>
  <c r="L41" i="2"/>
  <c r="J64" i="2"/>
  <c r="J65" i="2" s="1"/>
  <c r="L130" i="4"/>
  <c r="K244" i="4" l="1"/>
  <c r="L231" i="4"/>
  <c r="L232" i="4" s="1"/>
  <c r="I8" i="8"/>
  <c r="K253" i="4"/>
  <c r="K254" i="4" s="1"/>
  <c r="K53" i="2"/>
  <c r="K60" i="2" s="1"/>
  <c r="L43" i="2"/>
  <c r="L44" i="2" s="1"/>
  <c r="J67" i="2"/>
  <c r="J68" i="2" s="1"/>
  <c r="J95" i="2"/>
  <c r="L36" i="6"/>
  <c r="I17" i="8" s="1"/>
  <c r="L243" i="4" l="1"/>
  <c r="L244" i="4" s="1"/>
  <c r="K54" i="2"/>
  <c r="L46" i="2"/>
  <c r="L53" i="2" s="1"/>
  <c r="J75" i="2"/>
  <c r="J80" i="2" s="1"/>
  <c r="J92" i="2" s="1"/>
  <c r="J96" i="2" s="1"/>
  <c r="J97" i="2" s="1"/>
  <c r="K95" i="2" s="1"/>
  <c r="L79" i="2"/>
  <c r="K61" i="2"/>
  <c r="K64" i="2"/>
  <c r="K65" i="2" s="1"/>
  <c r="L247" i="4" l="1"/>
  <c r="L248" i="4" s="1"/>
  <c r="L250" i="4" s="1"/>
  <c r="L251" i="4" s="1"/>
  <c r="L47" i="2"/>
  <c r="K67" i="2"/>
  <c r="K68" i="2" s="1"/>
  <c r="L60" i="2"/>
  <c r="L54" i="2"/>
  <c r="L253" i="4" l="1"/>
  <c r="L254" i="4" s="1"/>
  <c r="K75" i="2"/>
  <c r="K80" i="2" s="1"/>
  <c r="K92" i="2" s="1"/>
  <c r="K96" i="2" s="1"/>
  <c r="K97" i="2" s="1"/>
  <c r="L95" i="2" s="1"/>
  <c r="L61" i="2"/>
  <c r="L64" i="2"/>
  <c r="L65" i="2" s="1"/>
  <c r="L67" i="2" l="1"/>
  <c r="L68" i="2" s="1"/>
  <c r="L75" i="2" l="1"/>
  <c r="L80" i="2" s="1"/>
  <c r="L92" i="2" s="1"/>
  <c r="L96" i="2" s="1"/>
  <c r="L9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M176" authorId="0" shapeId="0" xr:uid="{14CFAB96-6FAF-2B4C-8C27-41149A6EA496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Pagamenti PayPal 91702 (comm. 3,4%)
</t>
        </r>
        <r>
          <rPr>
            <sz val="10"/>
            <color rgb="FF000000"/>
            <rFont val="Tahoma"/>
            <family val="2"/>
          </rPr>
          <t xml:space="preserve">Pagamenti stripe </t>
        </r>
        <r>
          <rPr>
            <sz val="10"/>
            <color rgb="FF000000"/>
            <rFont val="Calibri"/>
            <family val="2"/>
          </rPr>
          <t xml:space="preserve">236.919,81 (comm. 1,4%)
</t>
        </r>
        <r>
          <rPr>
            <sz val="10"/>
            <color rgb="FF000000"/>
            <rFont val="Calibri"/>
            <family val="2"/>
          </rPr>
          <t>419.731,18</t>
        </r>
      </text>
    </comment>
  </commentList>
</comments>
</file>

<file path=xl/sharedStrings.xml><?xml version="1.0" encoding="utf-8"?>
<sst xmlns="http://schemas.openxmlformats.org/spreadsheetml/2006/main" count="422" uniqueCount="271">
  <si>
    <t>Sheet #</t>
  </si>
  <si>
    <t>Sheet Name</t>
  </si>
  <si>
    <t>Description of Sheet function</t>
  </si>
  <si>
    <t>Introduction</t>
  </si>
  <si>
    <t>This introduction page introducing Equidam and the approaches taken in this model.</t>
  </si>
  <si>
    <r>
      <rPr>
        <i/>
        <u/>
        <sz val="12"/>
        <color indexed="15"/>
        <rFont val="Arial"/>
        <family val="2"/>
      </rPr>
      <t>P&amp;L &amp; BS</t>
    </r>
  </si>
  <si>
    <t>The company's Profit and Loss and Balance Sheet statements for the forecasted 5 years</t>
  </si>
  <si>
    <r>
      <rPr>
        <i/>
        <u/>
        <sz val="12"/>
        <color indexed="15"/>
        <rFont val="Arial"/>
        <family val="2"/>
      </rPr>
      <t>Revenues</t>
    </r>
  </si>
  <si>
    <t>Assumptions on revenue for each business quadrant</t>
  </si>
  <si>
    <r>
      <rPr>
        <i/>
        <u/>
        <sz val="12"/>
        <color indexed="15"/>
        <rFont val="Arial"/>
        <family val="2"/>
      </rPr>
      <t>Costs</t>
    </r>
  </si>
  <si>
    <t>Assumptions on costs of the company</t>
  </si>
  <si>
    <r>
      <rPr>
        <i/>
        <u/>
        <sz val="12"/>
        <color indexed="15"/>
        <rFont val="Arial"/>
        <family val="2"/>
      </rPr>
      <t>BS CF</t>
    </r>
  </si>
  <si>
    <t>Assumption on balance sheet and cash flows</t>
  </si>
  <si>
    <r>
      <rPr>
        <i/>
        <u/>
        <sz val="12"/>
        <color indexed="15"/>
        <rFont val="Arial"/>
        <family val="2"/>
      </rPr>
      <t>Equidam Financials Input</t>
    </r>
  </si>
  <si>
    <t>Information organised to perform the valuation of the company on Equidam's online valuation platform</t>
  </si>
  <si>
    <t>Monthly</t>
  </si>
  <si>
    <t>Quarterly</t>
  </si>
  <si>
    <t>Yearly</t>
  </si>
  <si>
    <t>n.a.</t>
  </si>
  <si>
    <r>
      <rPr>
        <i/>
        <u/>
        <sz val="11"/>
        <color indexed="18"/>
        <rFont val="Arial"/>
        <family val="2"/>
      </rPr>
      <t>Return to Introduction Page</t>
    </r>
  </si>
  <si>
    <r>
      <rPr>
        <i/>
        <sz val="12"/>
        <color indexed="8"/>
        <rFont val="Calibri"/>
        <family val="2"/>
      </rPr>
      <t>tip</t>
    </r>
    <r>
      <rPr>
        <sz val="12"/>
        <color indexed="8"/>
        <rFont val="Calibri"/>
        <family val="2"/>
      </rPr>
      <t xml:space="preserve">: don't edit any of the information below, it is an overview of the </t>
    </r>
    <r>
      <rPr>
        <b/>
        <sz val="12"/>
        <color indexed="8"/>
        <rFont val="Calibri"/>
        <family val="2"/>
      </rPr>
      <t>results</t>
    </r>
    <r>
      <rPr>
        <sz val="12"/>
        <color indexed="8"/>
        <rFont val="Calibri"/>
        <family val="2"/>
      </rPr>
      <t xml:space="preserve"> of the forecast.</t>
    </r>
  </si>
  <si>
    <t>Past Year</t>
  </si>
  <si>
    <t>Year 1</t>
  </si>
  <si>
    <t>Year 2</t>
  </si>
  <si>
    <t>Year 3</t>
  </si>
  <si>
    <t>Year 4</t>
  </si>
  <si>
    <t>Year 5</t>
  </si>
  <si>
    <t>Projected Income Statement</t>
  </si>
  <si>
    <t>Revenue</t>
  </si>
  <si>
    <t>Total Revenue</t>
  </si>
  <si>
    <t>Growth</t>
  </si>
  <si>
    <t>Wage and Related</t>
  </si>
  <si>
    <t>As % of Revenue</t>
  </si>
  <si>
    <t>EBITDA</t>
  </si>
  <si>
    <t>D&amp;A</t>
  </si>
  <si>
    <t>EBIT</t>
  </si>
  <si>
    <t>Interest</t>
  </si>
  <si>
    <t>EBT</t>
  </si>
  <si>
    <t>Taxes</t>
  </si>
  <si>
    <t>Net Income</t>
  </si>
  <si>
    <t>Cash Flow Statement</t>
  </si>
  <si>
    <t>Operating Cash Flow</t>
  </si>
  <si>
    <t>(+) Net Income</t>
  </si>
  <si>
    <t>(+) Depreciation</t>
  </si>
  <si>
    <t>(-/+) Accounts Receivable Increase</t>
  </si>
  <si>
    <t>(+/-) Accounts Payable Increase</t>
  </si>
  <si>
    <t>Net Operating Cash Flow</t>
  </si>
  <si>
    <t>Capital Expenditures</t>
  </si>
  <si>
    <t>Financing Activities</t>
  </si>
  <si>
    <t>(+/-) Loans</t>
  </si>
  <si>
    <t>(+) Equity Contributions</t>
  </si>
  <si>
    <t>(-) Equity Distributions</t>
  </si>
  <si>
    <t>Net Financing Cash Flow</t>
  </si>
  <si>
    <t>Net Cash flow</t>
  </si>
  <si>
    <t>Available Cash</t>
  </si>
  <si>
    <t>Beginning Cash</t>
  </si>
  <si>
    <t>Ending Cash</t>
  </si>
  <si>
    <t>Assets</t>
  </si>
  <si>
    <t>Cash</t>
  </si>
  <si>
    <t>Intangible Assets</t>
  </si>
  <si>
    <t>Tangible Assets</t>
  </si>
  <si>
    <t>Tax assets</t>
  </si>
  <si>
    <t>Liabilities</t>
  </si>
  <si>
    <t>Equity</t>
  </si>
  <si>
    <t>Period</t>
  </si>
  <si>
    <t>Subscriptions</t>
  </si>
  <si>
    <t>Paid Advertising</t>
  </si>
  <si>
    <t>Budget growth</t>
  </si>
  <si>
    <t>Initial Budget</t>
  </si>
  <si>
    <t>Budget</t>
  </si>
  <si>
    <t>Avg CPC</t>
  </si>
  <si>
    <t>Clicks</t>
  </si>
  <si>
    <t>Organic traffic</t>
  </si>
  <si>
    <t>Amount Jul19 - Jun20</t>
  </si>
  <si>
    <t>Organic Traffic</t>
  </si>
  <si>
    <t>Total Number of New Visits</t>
  </si>
  <si>
    <t>New Subscribers</t>
  </si>
  <si>
    <t>Conversion rate to paid plans</t>
  </si>
  <si>
    <t>Product mix</t>
  </si>
  <si>
    <t>Percentages</t>
  </si>
  <si>
    <t xml:space="preserve"> </t>
  </si>
  <si>
    <t>Churned subscribers</t>
  </si>
  <si>
    <t>Annual churn rate</t>
  </si>
  <si>
    <t>Active subscribers</t>
  </si>
  <si>
    <t>All Plans</t>
  </si>
  <si>
    <t>Generated revenue</t>
  </si>
  <si>
    <t>Monthly price</t>
  </si>
  <si>
    <t>Year to date</t>
  </si>
  <si>
    <t>Contracts closed</t>
  </si>
  <si>
    <t>Yearly growth</t>
  </si>
  <si>
    <t>Churn Rate</t>
  </si>
  <si>
    <t>Churned</t>
  </si>
  <si>
    <t xml:space="preserve">Active contracts </t>
  </si>
  <si>
    <t>Average yearly price</t>
  </si>
  <si>
    <t>Executives</t>
  </si>
  <si>
    <t>CEO</t>
  </si>
  <si>
    <t>Year 1 Salary</t>
  </si>
  <si>
    <t>Year of Entry</t>
  </si>
  <si>
    <t>% Growth/Year</t>
  </si>
  <si>
    <t>Mid-Year Ratio Year 1</t>
  </si>
  <si>
    <t xml:space="preserve">   Position Count</t>
  </si>
  <si>
    <t>CTO</t>
  </si>
  <si>
    <t>Management</t>
  </si>
  <si>
    <t>Mid Management</t>
  </si>
  <si>
    <t>Salary Requirement</t>
  </si>
  <si>
    <t>Employees/Position Count</t>
  </si>
  <si>
    <t xml:space="preserve">   Staff Required</t>
  </si>
  <si>
    <t xml:space="preserve">   Staff Base Salary</t>
  </si>
  <si>
    <t>Technology development</t>
  </si>
  <si>
    <t>Product Development Manager</t>
  </si>
  <si>
    <t>Development Engineers</t>
  </si>
  <si>
    <t>New Subscribers Count</t>
  </si>
  <si>
    <t xml:space="preserve">   Supplemental Staff during Ramp-Up</t>
  </si>
  <si>
    <t xml:space="preserve">   Total Staff Including Supplemental</t>
  </si>
  <si>
    <t>Sales and marketing</t>
  </si>
  <si>
    <t>Sales manager</t>
  </si>
  <si>
    <t>Marketing Staff</t>
  </si>
  <si>
    <t>Number of New Visit</t>
  </si>
  <si>
    <t xml:space="preserve">   Supplemental Staff</t>
  </si>
  <si>
    <t>Operations and customer support</t>
  </si>
  <si>
    <t>Customer Support Staff</t>
  </si>
  <si>
    <r>
      <rPr>
        <i/>
        <sz val="12"/>
        <color indexed="20"/>
        <rFont val="Calibri"/>
        <family val="2"/>
      </rPr>
      <t>Active Subscribers</t>
    </r>
    <r>
      <rPr>
        <sz val="12"/>
        <color indexed="20"/>
        <rFont val="Calibri"/>
        <family val="2"/>
      </rPr>
      <t xml:space="preserve"> Count</t>
    </r>
  </si>
  <si>
    <t>Customer Onboarding Staff</t>
  </si>
  <si>
    <t>Finance and administration</t>
  </si>
  <si>
    <t>Accounting/Administrative Staff</t>
  </si>
  <si>
    <t>Other personnel expenses</t>
  </si>
  <si>
    <t>% of salaries</t>
  </si>
  <si>
    <t>Social security</t>
  </si>
  <si>
    <t>Selling, General &amp; Administrative Expenses</t>
  </si>
  <si>
    <t>Advertising and promotion</t>
  </si>
  <si>
    <t>Total Paid Advertising</t>
  </si>
  <si>
    <t>Other Marketing - Events &amp; Radio &amp; TV</t>
  </si>
  <si>
    <t>% of sales</t>
  </si>
  <si>
    <t>Technology platform</t>
  </si>
  <si>
    <t>Servers &amp; Software</t>
  </si>
  <si>
    <t>Computer Equipment</t>
  </si>
  <si>
    <t>Third Party Development</t>
  </si>
  <si>
    <t>Supplemental first year</t>
  </si>
  <si>
    <t>Banking and insurance</t>
  </si>
  <si>
    <t>Payment Processing Costs</t>
  </si>
  <si>
    <t>Bank Charges</t>
  </si>
  <si>
    <t>Baseline Required</t>
  </si>
  <si>
    <t>Additional as % of revenue</t>
  </si>
  <si>
    <t>Professional services</t>
  </si>
  <si>
    <t>Legal Services</t>
  </si>
  <si>
    <t>Accounting Services</t>
  </si>
  <si>
    <t>Facilities and infrastructure</t>
  </si>
  <si>
    <t>Rent &amp; Office</t>
  </si>
  <si>
    <t>Annual/employee</t>
  </si>
  <si>
    <t>Utilities, Telephone &amp; Internet</t>
  </si>
  <si>
    <t>General and administrative</t>
  </si>
  <si>
    <t>Supplies &amp; Consumables</t>
  </si>
  <si>
    <t>Travel &amp; Entertainment</t>
  </si>
  <si>
    <t>Annual/Executive</t>
  </si>
  <si>
    <t>Annual/Sales Staff</t>
  </si>
  <si>
    <t>Total Travel &amp; Entertainment</t>
  </si>
  <si>
    <t>Other G&amp;A</t>
  </si>
  <si>
    <t>Total Selling, General &amp; Administrative</t>
  </si>
  <si>
    <t>Total Expenses</t>
  </si>
  <si>
    <t>Depreciations</t>
  </si>
  <si>
    <t>Average years</t>
  </si>
  <si>
    <t>Annual Interest</t>
  </si>
  <si>
    <t>Total Interest</t>
  </si>
  <si>
    <t>Income Tax</t>
  </si>
  <si>
    <t>Income Tax Rate</t>
  </si>
  <si>
    <t>Accrued Tax</t>
  </si>
  <si>
    <t>Accounts Receivables</t>
  </si>
  <si>
    <t>Starting Amount</t>
  </si>
  <si>
    <t># Days Revenue</t>
  </si>
  <si>
    <t>Residual Amount</t>
  </si>
  <si>
    <t>Starting amount</t>
  </si>
  <si>
    <t>Accounts Payables</t>
  </si>
  <si>
    <t># Days Expenses</t>
  </si>
  <si>
    <t>Long term liabilities</t>
  </si>
  <si>
    <t>Loan 1</t>
  </si>
  <si>
    <t>Payback percentage</t>
  </si>
  <si>
    <t>Payable</t>
  </si>
  <si>
    <t>Loan payable</t>
  </si>
  <si>
    <t>Equity fundraising</t>
  </si>
  <si>
    <t xml:space="preserve">Fundraising </t>
  </si>
  <si>
    <t>Distributions</t>
  </si>
  <si>
    <t>Net Equitiy CF</t>
  </si>
  <si>
    <t>Capital expenditures</t>
  </si>
  <si>
    <t>Total Capital Expenditures</t>
  </si>
  <si>
    <t>Costs of Goods Sold</t>
  </si>
  <si>
    <t>Salaries</t>
  </si>
  <si>
    <t>Total Depreciation &amp; Amortization</t>
  </si>
  <si>
    <t>Receivables</t>
  </si>
  <si>
    <t>Inventory</t>
  </si>
  <si>
    <t>Payables</t>
  </si>
  <si>
    <t>Debt</t>
  </si>
  <si>
    <t>Fundraising Plan</t>
  </si>
  <si>
    <t>Cash and Cash Equivalents</t>
  </si>
  <si>
    <t>Financial Assets</t>
  </si>
  <si>
    <t>Deferred Tax Assets</t>
  </si>
  <si>
    <t>Short-term Liabilities</t>
  </si>
  <si>
    <t>Long-term Liabilities</t>
  </si>
  <si>
    <t>Visits</t>
  </si>
  <si>
    <t>Cost per Visit</t>
  </si>
  <si>
    <t>Budget per employee</t>
  </si>
  <si>
    <t>Active Subscribers Count</t>
  </si>
  <si>
    <t>Additional for Maintentance</t>
  </si>
  <si>
    <t>Additional per empoyee</t>
  </si>
  <si>
    <t>Current office</t>
  </si>
  <si>
    <t>Next office</t>
  </si>
  <si>
    <t>Annual Istat Increase</t>
  </si>
  <si>
    <t>Increase</t>
  </si>
  <si>
    <t>As % of revenue</t>
  </si>
  <si>
    <t>Partner Program</t>
  </si>
  <si>
    <t>`</t>
  </si>
  <si>
    <t>Baseline Required as % of revenue</t>
  </si>
  <si>
    <t>Depreciations of Tangible Assets</t>
  </si>
  <si>
    <t>Amortisation of Intangible Assets</t>
  </si>
  <si>
    <t>Outstanding amount</t>
  </si>
  <si>
    <t>Organic growth</t>
  </si>
  <si>
    <t>Earnings Before Taxes</t>
  </si>
  <si>
    <t>A</t>
  </si>
  <si>
    <t>B</t>
  </si>
  <si>
    <t>C</t>
  </si>
  <si>
    <t>D</t>
  </si>
  <si>
    <t>As of [Date]</t>
  </si>
  <si>
    <t>Large Contracts</t>
  </si>
  <si>
    <t>Company Name</t>
  </si>
  <si>
    <t>Start date of the projections</t>
  </si>
  <si>
    <t>Unicorn Inc.</t>
  </si>
  <si>
    <t>Unicorn Inc. Balance Sheet Assumptions</t>
  </si>
  <si>
    <t>Amount prev year</t>
  </si>
  <si>
    <t>CONTENTS:</t>
  </si>
  <si>
    <t>This fully modifiable template is provided by Equidam, however is not reviewed or checked in any way. To find out more about us visit: www.equidam.com. For any questions: info@equidam.com</t>
  </si>
  <si>
    <t>Other Operating Expenses</t>
  </si>
  <si>
    <t>Comments</t>
  </si>
  <si>
    <t>Current or Previous Year</t>
  </si>
  <si>
    <t>Aggregate Financials For input in Equidam</t>
  </si>
  <si>
    <t>equidam.com</t>
  </si>
  <si>
    <t>Return to Introduction Page</t>
  </si>
  <si>
    <t>Starting Deferred Tax assets</t>
  </si>
  <si>
    <t>% of Revenue</t>
  </si>
  <si>
    <t>(-/+) Inventory Increase</t>
  </si>
  <si>
    <t>Social Security</t>
  </si>
  <si>
    <t>Previous 12 months</t>
  </si>
  <si>
    <t>Large Recurring Contracts</t>
  </si>
  <si>
    <t>E-commerce Sales</t>
  </si>
  <si>
    <t>Outbound Sales</t>
  </si>
  <si>
    <t>New customers</t>
  </si>
  <si>
    <t>Returning customers</t>
  </si>
  <si>
    <t>Percentage of returning customers</t>
  </si>
  <si>
    <t>New Customers</t>
  </si>
  <si>
    <t>Previous year customers</t>
  </si>
  <si>
    <t>Conversion rate</t>
  </si>
  <si>
    <t>Returning Customers</t>
  </si>
  <si>
    <t>Total Customers</t>
  </si>
  <si>
    <t>Average order value</t>
  </si>
  <si>
    <t>Number of sales agents</t>
  </si>
  <si>
    <t>Outbound reach</t>
  </si>
  <si>
    <t>New prospects reached</t>
  </si>
  <si>
    <t>per week</t>
  </si>
  <si>
    <t>Total new conversations started</t>
  </si>
  <si>
    <t>Contracts</t>
  </si>
  <si>
    <t>New contracts</t>
  </si>
  <si>
    <t>Yearly Price Increase</t>
  </si>
  <si>
    <t>Cost of goods sold</t>
  </si>
  <si>
    <t>SG&amp;A and others</t>
  </si>
  <si>
    <t>Cost of Goods Sold</t>
  </si>
  <si>
    <t>Variable costs</t>
  </si>
  <si>
    <t>Cost per customer served</t>
  </si>
  <si>
    <t>Total Cost per Customer Served</t>
  </si>
  <si>
    <t>Total Variable Costs</t>
  </si>
  <si>
    <t>Total Cost of Goods Sold</t>
  </si>
  <si>
    <r>
      <rPr>
        <i/>
        <sz val="11"/>
        <color rgb="FF5F5F5F"/>
        <rFont val="Arial"/>
        <family val="2"/>
      </rPr>
      <t>tip</t>
    </r>
    <r>
      <rPr>
        <sz val="11"/>
        <color rgb="FF5F5F5F"/>
        <rFont val="Arial"/>
        <family val="2"/>
      </rPr>
      <t>: simply upload this full  document to the Equidam platform to perform a valuation. Here is the link:</t>
    </r>
  </si>
  <si>
    <t>Chief Growth Officer</t>
  </si>
  <si>
    <t>% of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</si>
</sst>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 * #,##0.00_ ;_ * \-#,##0.00_ ;_ * &quot;-&quot;??_ ;_ @_ "/>
    <numFmt numFmtId="164" formatCode="_-* #,##0.00_-;\-* #,##0.00_-;_-* &quot;-&quot;??_-;_-@_-"/>
    <numFmt numFmtId="165" formatCode="0.00&quot; &quot;;\(0.00\)"/>
    <numFmt numFmtId="166" formatCode="0.000&quot; &quot;;\(0.000\)"/>
    <numFmt numFmtId="167" formatCode="0&quot; &quot;;\(0\)"/>
    <numFmt numFmtId="168" formatCode="&quot; &quot;[$$-409]* #,##0.00&quot; &quot;;&quot; &quot;[$$-409]* &quot;-&quot;#,##0.00&quot; &quot;;&quot; &quot;[$$-409]* &quot;-&quot;??&quot; &quot;"/>
    <numFmt numFmtId="169" formatCode="&quot; €&quot;* #,##0.00&quot; &quot;;&quot;-€&quot;* #,##0.00&quot; &quot;;&quot; €&quot;* &quot;-&quot;??&quot; &quot;"/>
    <numFmt numFmtId="170" formatCode="0.0%"/>
    <numFmt numFmtId="171" formatCode="[$$-409]&quot; &quot;#,##0"/>
    <numFmt numFmtId="172" formatCode="h:mm:ss&quot; &quot;AM/PM"/>
    <numFmt numFmtId="173" formatCode="&quot; &quot;* #,##0.0&quot; &quot;;&quot; &quot;* \(#,##0.0\);&quot; &quot;* &quot;-&quot;??&quot; &quot;"/>
    <numFmt numFmtId="174" formatCode="0.0000%"/>
    <numFmt numFmtId="175" formatCode="&quot; &quot;* #,##0.00&quot; &quot;;&quot;-&quot;* #,##0.00&quot; &quot;;&quot; &quot;* &quot;-&quot;??&quot; &quot;"/>
    <numFmt numFmtId="176" formatCode="[$€-2]&quot; &quot;#,##0"/>
    <numFmt numFmtId="177" formatCode="0.0"/>
    <numFmt numFmtId="178" formatCode="[$-F800]dddd\,\ mmmm\ dd\,\ yyyy"/>
    <numFmt numFmtId="179" formatCode="0.00_);\(0.00\)"/>
    <numFmt numFmtId="180" formatCode="_([$$-409]* #,##0.00_);_([$$-409]* \(#,##0.00\);_([$$-409]* &quot;-&quot;??_);_(@_)"/>
    <numFmt numFmtId="181" formatCode="_-[$$-409]* #,##0.00_ ;_-[$$-409]* \-#,##0.00\ ;_-[$$-409]* &quot;-&quot;??_ ;_-@_ "/>
    <numFmt numFmtId="182" formatCode="_-* #,##0_-;\-* #,##0_-;_-* &quot;-&quot;_-;_-@_-"/>
    <numFmt numFmtId="183" formatCode="[$$]\ #,##0"/>
  </numFmts>
  <fonts count="79">
    <font>
      <sz val="12"/>
      <color indexed="8"/>
      <name val="Calibri"/>
    </font>
    <font>
      <sz val="12"/>
      <color theme="1"/>
      <name val="Helvetica Neue"/>
      <family val="2"/>
      <scheme val="minor"/>
    </font>
    <font>
      <sz val="10"/>
      <color indexed="8"/>
      <name val="Arial"/>
      <family val="2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b/>
      <sz val="18"/>
      <color indexed="13"/>
      <name val="Arial"/>
      <family val="2"/>
    </font>
    <font>
      <sz val="12"/>
      <color indexed="14"/>
      <name val="Arial"/>
      <family val="2"/>
    </font>
    <font>
      <sz val="12"/>
      <color indexed="8"/>
      <name val="Arial"/>
      <family val="2"/>
    </font>
    <font>
      <sz val="12"/>
      <color indexed="15"/>
      <name val="Arial"/>
      <family val="2"/>
    </font>
    <font>
      <i/>
      <sz val="11"/>
      <color indexed="16"/>
      <name val="SourceSansPro"/>
    </font>
    <font>
      <sz val="10"/>
      <color indexed="16"/>
      <name val="SourceSansPro"/>
    </font>
    <font>
      <b/>
      <sz val="14"/>
      <color indexed="13"/>
      <name val="Arial"/>
      <family val="2"/>
    </font>
    <font>
      <b/>
      <sz val="12"/>
      <color indexed="15"/>
      <name val="Arial"/>
      <family val="2"/>
    </font>
    <font>
      <i/>
      <u/>
      <sz val="12"/>
      <color indexed="15"/>
      <name val="Arial"/>
      <family val="2"/>
    </font>
    <font>
      <sz val="11"/>
      <color indexed="16"/>
      <name val="SourceSansPro"/>
    </font>
    <font>
      <b/>
      <sz val="12"/>
      <color indexed="8"/>
      <name val="Arial"/>
      <family val="2"/>
    </font>
    <font>
      <b/>
      <sz val="12"/>
      <color indexed="8"/>
      <name val="Calibri"/>
      <family val="2"/>
    </font>
    <font>
      <sz val="12"/>
      <color indexed="9"/>
      <name val="Calibri"/>
      <family val="2"/>
    </font>
    <font>
      <i/>
      <u/>
      <sz val="11"/>
      <color indexed="18"/>
      <name val="Arial"/>
      <family val="2"/>
    </font>
    <font>
      <i/>
      <sz val="12"/>
      <color indexed="8"/>
      <name val="Calibri"/>
      <family val="2"/>
    </font>
    <font>
      <b/>
      <sz val="22"/>
      <color indexed="19"/>
      <name val="Arial"/>
      <family val="2"/>
    </font>
    <font>
      <b/>
      <sz val="14"/>
      <color indexed="19"/>
      <name val="Arial"/>
      <family val="2"/>
    </font>
    <font>
      <sz val="11"/>
      <color indexed="8"/>
      <name val="Calibri"/>
      <family val="2"/>
    </font>
    <font>
      <b/>
      <sz val="16"/>
      <color indexed="19"/>
      <name val="Arial"/>
      <family val="2"/>
    </font>
    <font>
      <b/>
      <sz val="14"/>
      <color indexed="20"/>
      <name val="Calibri"/>
      <family val="2"/>
    </font>
    <font>
      <sz val="12"/>
      <color indexed="20"/>
      <name val="Arial"/>
      <family val="2"/>
    </font>
    <font>
      <b/>
      <sz val="12"/>
      <color indexed="20"/>
      <name val="Arial"/>
      <family val="2"/>
    </font>
    <font>
      <i/>
      <sz val="11"/>
      <color indexed="20"/>
      <name val="Arial"/>
      <family val="2"/>
    </font>
    <font>
      <sz val="12"/>
      <color indexed="21"/>
      <name val="Calibri"/>
      <family val="2"/>
    </font>
    <font>
      <b/>
      <sz val="12"/>
      <color indexed="18"/>
      <name val="Arial"/>
      <family val="2"/>
    </font>
    <font>
      <b/>
      <sz val="12"/>
      <color indexed="22"/>
      <name val="Arial"/>
      <family val="2"/>
    </font>
    <font>
      <i/>
      <sz val="12"/>
      <color indexed="20"/>
      <name val="Calibri"/>
      <family val="2"/>
    </font>
    <font>
      <i/>
      <sz val="10"/>
      <color indexed="20"/>
      <name val="Calibri"/>
      <family val="2"/>
    </font>
    <font>
      <i/>
      <sz val="11"/>
      <color indexed="8"/>
      <name val="Calibri"/>
      <family val="2"/>
    </font>
    <font>
      <i/>
      <sz val="10"/>
      <color indexed="15"/>
      <name val="Arial"/>
      <family val="2"/>
    </font>
    <font>
      <b/>
      <sz val="12"/>
      <color indexed="20"/>
      <name val="Calibri"/>
      <family val="2"/>
    </font>
    <font>
      <sz val="20"/>
      <color indexed="8"/>
      <name val="Arial"/>
      <family val="2"/>
    </font>
    <font>
      <sz val="18"/>
      <color indexed="24"/>
      <name val="Open Sans"/>
      <family val="2"/>
    </font>
    <font>
      <sz val="14"/>
      <color indexed="24"/>
      <name val="Open Sans"/>
      <family val="2"/>
    </font>
    <font>
      <sz val="12"/>
      <color indexed="20"/>
      <name val="Calibri"/>
      <family val="2"/>
    </font>
    <font>
      <sz val="11"/>
      <color indexed="19"/>
      <name val="Arial"/>
      <family val="2"/>
    </font>
    <font>
      <b/>
      <sz val="12"/>
      <color indexed="26"/>
      <name val="Calibri"/>
      <family val="2"/>
    </font>
    <font>
      <sz val="12"/>
      <color indexed="27"/>
      <name val="Calibri"/>
      <family val="2"/>
    </font>
    <font>
      <sz val="12"/>
      <color indexed="28"/>
      <name val="Calibri"/>
      <family val="2"/>
    </font>
    <font>
      <sz val="12"/>
      <color indexed="26"/>
      <name val="Calibri"/>
      <family val="2"/>
    </font>
    <font>
      <sz val="12"/>
      <color indexed="30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21"/>
      <name val="Calibri"/>
      <family val="2"/>
    </font>
    <font>
      <sz val="12"/>
      <color rgb="FFFF0000"/>
      <name val="Calibri"/>
      <family val="2"/>
    </font>
    <font>
      <sz val="12"/>
      <color indexed="8"/>
      <name val="Calibri"/>
      <family val="2"/>
    </font>
    <font>
      <sz val="12"/>
      <color rgb="FF00B0F0"/>
      <name val="Calibri"/>
      <family val="2"/>
    </font>
    <font>
      <sz val="12"/>
      <color indexed="8"/>
      <name val="Calibri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Calibri"/>
      <family val="2"/>
    </font>
    <font>
      <i/>
      <sz val="12"/>
      <color indexed="15"/>
      <name val="Arial"/>
      <family val="2"/>
    </font>
    <font>
      <sz val="12"/>
      <color indexed="8"/>
      <name val="Calibri"/>
      <family val="2"/>
    </font>
    <font>
      <sz val="12"/>
      <color theme="1" tint="0.34998626667073579"/>
      <name val="Calibri"/>
      <family val="2"/>
    </font>
    <font>
      <sz val="12"/>
      <color theme="1" tint="0.34998626667073579"/>
      <name val="Arial"/>
      <family val="2"/>
    </font>
    <font>
      <sz val="11"/>
      <color rgb="FF0B2C44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b/>
      <sz val="11"/>
      <color rgb="FF006100"/>
      <name val="Arial"/>
      <family val="2"/>
    </font>
    <font>
      <b/>
      <sz val="12"/>
      <name val="Arial"/>
      <family val="2"/>
    </font>
    <font>
      <sz val="11"/>
      <color rgb="FF006100"/>
      <name val="Arial"/>
      <family val="2"/>
    </font>
    <font>
      <sz val="14"/>
      <color rgb="FF98D50E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rgb="FF25B2FC"/>
      <name val="Arial"/>
      <family val="2"/>
    </font>
    <font>
      <b/>
      <sz val="16"/>
      <color rgb="FF0B2C44"/>
      <name val="Arial"/>
      <family val="2"/>
    </font>
    <font>
      <i/>
      <u/>
      <sz val="11"/>
      <color rgb="FF25B2FC"/>
      <name val="Arial"/>
      <family val="2"/>
    </font>
    <font>
      <u/>
      <sz val="12"/>
      <color rgb="FF97D800"/>
      <name val="Arial"/>
      <family val="2"/>
    </font>
    <font>
      <b/>
      <u/>
      <sz val="12"/>
      <color rgb="FF97D800"/>
      <name val="Arial"/>
      <family val="2"/>
    </font>
    <font>
      <b/>
      <u/>
      <sz val="12"/>
      <color rgb="FF4BC3FF"/>
      <name val="Arial"/>
      <family val="2"/>
    </font>
    <font>
      <sz val="11"/>
      <color rgb="FF5F5F5F"/>
      <name val="Arial"/>
      <family val="2"/>
    </font>
    <font>
      <i/>
      <sz val="11"/>
      <color rgb="FF5F5F5F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25"/>
        <bgColor auto="1"/>
      </patternFill>
    </fill>
    <fill>
      <patternFill patternType="solid">
        <fgColor rgb="FFCBFFF0"/>
        <bgColor rgb="FFC6EFCE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</fills>
  <borders count="188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 style="thin">
        <color indexed="12"/>
      </bottom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2"/>
      </right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/>
      <bottom style="hair">
        <color indexed="17"/>
      </bottom>
      <diagonal/>
    </border>
    <border>
      <left/>
      <right/>
      <top/>
      <bottom style="hair">
        <color indexed="17"/>
      </bottom>
      <diagonal/>
    </border>
    <border>
      <left/>
      <right style="thin">
        <color indexed="12"/>
      </right>
      <top/>
      <bottom style="hair">
        <color indexed="17"/>
      </bottom>
      <diagonal/>
    </border>
    <border>
      <left style="thin">
        <color indexed="12"/>
      </left>
      <right/>
      <top style="hair">
        <color indexed="17"/>
      </top>
      <bottom/>
      <diagonal/>
    </border>
    <border>
      <left/>
      <right/>
      <top style="hair">
        <color indexed="17"/>
      </top>
      <bottom/>
      <diagonal/>
    </border>
    <border>
      <left/>
      <right style="thin">
        <color indexed="12"/>
      </right>
      <top style="hair">
        <color indexed="17"/>
      </top>
      <bottom/>
      <diagonal/>
    </border>
    <border>
      <left style="thin">
        <color indexed="12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2"/>
      </right>
      <top/>
      <bottom style="thin">
        <color indexed="17"/>
      </bottom>
      <diagonal/>
    </border>
    <border>
      <left style="thin">
        <color indexed="12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2"/>
      </right>
      <top style="thin">
        <color indexed="17"/>
      </top>
      <bottom style="thin">
        <color indexed="17"/>
      </bottom>
      <diagonal/>
    </border>
    <border>
      <left style="thin">
        <color indexed="12"/>
      </left>
      <right style="thin">
        <color indexed="17"/>
      </right>
      <top style="thin">
        <color indexed="17"/>
      </top>
      <bottom style="thin">
        <color indexed="12"/>
      </bottom>
      <diagonal/>
    </border>
    <border>
      <left style="thin">
        <color indexed="17"/>
      </left>
      <right/>
      <top style="thin">
        <color indexed="17"/>
      </top>
      <bottom style="thin">
        <color indexed="12"/>
      </bottom>
      <diagonal/>
    </border>
    <border>
      <left/>
      <right/>
      <top style="thin">
        <color indexed="17"/>
      </top>
      <bottom style="thin">
        <color indexed="12"/>
      </bottom>
      <diagonal/>
    </border>
    <border>
      <left/>
      <right style="thin">
        <color indexed="17"/>
      </right>
      <top style="thin">
        <color indexed="17"/>
      </top>
      <bottom style="thin">
        <color indexed="12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2"/>
      </bottom>
      <diagonal/>
    </border>
    <border>
      <left style="thin">
        <color indexed="17"/>
      </left>
      <right style="thin">
        <color indexed="12"/>
      </right>
      <top style="thin">
        <color indexed="17"/>
      </top>
      <bottom style="thin">
        <color indexed="12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12"/>
      </right>
      <top style="thin">
        <color indexed="10"/>
      </top>
      <bottom/>
      <diagonal/>
    </border>
    <border>
      <left style="thin">
        <color indexed="12"/>
      </left>
      <right/>
      <top style="thin">
        <color indexed="10"/>
      </top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hair">
        <color indexed="17"/>
      </right>
      <top style="thin">
        <color indexed="12"/>
      </top>
      <bottom style="thin">
        <color indexed="12"/>
      </bottom>
      <diagonal/>
    </border>
    <border>
      <left style="hair">
        <color indexed="17"/>
      </left>
      <right style="hair">
        <color indexed="17"/>
      </right>
      <top/>
      <bottom/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7"/>
      </right>
      <top style="thin">
        <color indexed="12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2"/>
      </top>
      <bottom style="thin">
        <color indexed="12"/>
      </bottom>
      <diagonal/>
    </border>
    <border>
      <left style="thin">
        <color indexed="17"/>
      </left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7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/>
      <top/>
      <bottom style="thin">
        <color indexed="17"/>
      </bottom>
      <diagonal/>
    </border>
    <border>
      <left/>
      <right style="thin">
        <color indexed="12"/>
      </right>
      <top/>
      <bottom style="thin">
        <color indexed="17"/>
      </bottom>
      <diagonal/>
    </border>
    <border>
      <left style="thin">
        <color indexed="12"/>
      </left>
      <right style="thin">
        <color indexed="12"/>
      </right>
      <top/>
      <bottom style="thin">
        <color indexed="17"/>
      </bottom>
      <diagonal/>
    </border>
    <border>
      <left style="thin">
        <color indexed="12"/>
      </left>
      <right/>
      <top style="thin">
        <color indexed="17"/>
      </top>
      <bottom style="thin">
        <color indexed="8"/>
      </bottom>
      <diagonal/>
    </border>
    <border>
      <left/>
      <right/>
      <top style="thin">
        <color indexed="17"/>
      </top>
      <bottom style="thin">
        <color indexed="8"/>
      </bottom>
      <diagonal/>
    </border>
    <border>
      <left/>
      <right style="hair">
        <color indexed="17"/>
      </right>
      <top style="thin">
        <color indexed="17"/>
      </top>
      <bottom style="thin">
        <color indexed="8"/>
      </bottom>
      <diagonal/>
    </border>
    <border>
      <left style="hair">
        <color indexed="17"/>
      </left>
      <right style="thin">
        <color indexed="12"/>
      </right>
      <top style="thin">
        <color indexed="17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7"/>
      </top>
      <bottom style="thin">
        <color indexed="8"/>
      </bottom>
      <diagonal/>
    </border>
    <border>
      <left style="thin">
        <color indexed="12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2"/>
      </right>
      <top style="thin">
        <color indexed="8"/>
      </top>
      <bottom/>
      <diagonal/>
    </border>
    <border>
      <left style="thin">
        <color indexed="12"/>
      </left>
      <right style="thin">
        <color indexed="12"/>
      </right>
      <top style="thin">
        <color indexed="8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/>
      <right style="thin">
        <color indexed="12"/>
      </right>
      <top style="thin">
        <color indexed="17"/>
      </top>
      <bottom style="thin">
        <color indexed="8"/>
      </bottom>
      <diagonal/>
    </border>
    <border>
      <left style="thin">
        <color indexed="12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2"/>
      </right>
      <top/>
      <bottom style="thin">
        <color indexed="8"/>
      </bottom>
      <diagonal/>
    </border>
    <border>
      <left style="thin">
        <color indexed="12"/>
      </left>
      <right style="thin">
        <color indexed="12"/>
      </right>
      <top/>
      <bottom style="thin">
        <color indexed="8"/>
      </bottom>
      <diagonal/>
    </border>
    <border>
      <left style="thin">
        <color indexed="12"/>
      </left>
      <right/>
      <top style="thin">
        <color indexed="8"/>
      </top>
      <bottom style="thin">
        <color indexed="12"/>
      </bottom>
      <diagonal/>
    </border>
    <border>
      <left/>
      <right/>
      <top style="thin">
        <color indexed="8"/>
      </top>
      <bottom style="thin">
        <color indexed="12"/>
      </bottom>
      <diagonal/>
    </border>
    <border>
      <left/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23"/>
      </bottom>
      <diagonal/>
    </border>
    <border>
      <left style="thin">
        <color indexed="12"/>
      </left>
      <right style="thin">
        <color indexed="12"/>
      </right>
      <top style="thin">
        <color indexed="23"/>
      </top>
      <bottom/>
      <diagonal/>
    </border>
    <border>
      <left style="thin">
        <color indexed="12"/>
      </left>
      <right style="thin">
        <color indexed="17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7"/>
      </top>
      <bottom style="thin">
        <color indexed="17"/>
      </bottom>
      <diagonal/>
    </border>
    <border>
      <left/>
      <right style="thin">
        <color indexed="12"/>
      </right>
      <top style="thin">
        <color indexed="17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7"/>
      </top>
      <bottom style="thin">
        <color indexed="17"/>
      </bottom>
      <diagonal/>
    </border>
    <border>
      <left/>
      <right style="thin">
        <color indexed="12"/>
      </right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/>
      <diagonal/>
    </border>
    <border>
      <left style="thin">
        <color indexed="12"/>
      </left>
      <right style="thin">
        <color indexed="12"/>
      </right>
      <top style="thin">
        <color indexed="17"/>
      </top>
      <bottom/>
      <diagonal/>
    </border>
    <border>
      <left/>
      <right style="thin">
        <color indexed="12"/>
      </right>
      <top style="thin">
        <color indexed="17"/>
      </top>
      <bottom/>
      <diagonal/>
    </border>
    <border>
      <left style="thin">
        <color indexed="10"/>
      </left>
      <right style="hair">
        <color indexed="17"/>
      </right>
      <top/>
      <bottom/>
      <diagonal/>
    </border>
    <border>
      <left style="hair">
        <color indexed="17"/>
      </left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 style="hair">
        <color indexed="17"/>
      </right>
      <top style="thin">
        <color indexed="17"/>
      </top>
      <bottom style="thin">
        <color indexed="17"/>
      </bottom>
      <diagonal/>
    </border>
    <border>
      <left style="hair">
        <color indexed="17"/>
      </left>
      <right/>
      <top/>
      <bottom/>
      <diagonal/>
    </border>
    <border>
      <left style="thin">
        <color indexed="10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 style="thin">
        <color indexed="12"/>
      </top>
      <bottom style="thin">
        <color indexed="17"/>
      </bottom>
      <diagonal/>
    </border>
    <border>
      <left style="thin">
        <color indexed="17"/>
      </left>
      <right style="thin">
        <color indexed="12"/>
      </right>
      <top style="thin">
        <color indexed="12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2"/>
      </right>
      <top style="thin">
        <color indexed="17"/>
      </top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 style="thin">
        <color indexed="12"/>
      </right>
      <top/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 style="thin">
        <color indexed="12"/>
      </left>
      <right style="thin">
        <color indexed="17"/>
      </right>
      <top/>
      <bottom/>
      <diagonal/>
    </border>
    <border>
      <left/>
      <right style="thin">
        <color indexed="17"/>
      </right>
      <top style="thin">
        <color indexed="17"/>
      </top>
      <bottom style="thin">
        <color indexed="8"/>
      </bottom>
      <diagonal/>
    </border>
    <border>
      <left style="thin">
        <color indexed="17"/>
      </left>
      <right/>
      <top/>
      <bottom style="thin">
        <color indexed="8"/>
      </bottom>
      <diagonal/>
    </border>
    <border>
      <left/>
      <right style="thin">
        <color indexed="17"/>
      </right>
      <top/>
      <bottom style="thin">
        <color indexed="8"/>
      </bottom>
      <diagonal/>
    </border>
    <border>
      <left style="thin">
        <color indexed="17"/>
      </left>
      <right style="thin">
        <color indexed="12"/>
      </right>
      <top/>
      <bottom style="thin">
        <color indexed="8"/>
      </bottom>
      <diagonal/>
    </border>
    <border>
      <left/>
      <right style="thin">
        <color indexed="17"/>
      </right>
      <top style="thin">
        <color indexed="8"/>
      </top>
      <bottom/>
      <diagonal/>
    </border>
    <border>
      <left style="thin">
        <color indexed="17"/>
      </left>
      <right style="thin">
        <color indexed="12"/>
      </right>
      <top style="thin">
        <color indexed="8"/>
      </top>
      <bottom/>
      <diagonal/>
    </border>
    <border>
      <left style="thin">
        <color indexed="17"/>
      </left>
      <right/>
      <top style="thin">
        <color indexed="17"/>
      </top>
      <bottom style="thin">
        <color indexed="8"/>
      </bottom>
      <diagonal/>
    </border>
    <border>
      <left style="thin">
        <color indexed="17"/>
      </left>
      <right style="thin">
        <color indexed="17"/>
      </right>
      <top/>
      <bottom/>
      <diagonal/>
    </border>
    <border>
      <left/>
      <right style="thin">
        <color indexed="29"/>
      </right>
      <top style="thin">
        <color indexed="17"/>
      </top>
      <bottom/>
      <diagonal/>
    </border>
    <border>
      <left style="thin">
        <color indexed="29"/>
      </left>
      <right style="thin">
        <color indexed="12"/>
      </right>
      <top style="thin">
        <color indexed="17"/>
      </top>
      <bottom/>
      <diagonal/>
    </border>
    <border>
      <left/>
      <right style="thin">
        <color indexed="29"/>
      </right>
      <top/>
      <bottom/>
      <diagonal/>
    </border>
    <border>
      <left style="thin">
        <color indexed="29"/>
      </left>
      <right style="thin">
        <color indexed="12"/>
      </right>
      <top/>
      <bottom/>
      <diagonal/>
    </border>
    <border>
      <left/>
      <right style="thin">
        <color indexed="29"/>
      </right>
      <top/>
      <bottom style="thin">
        <color indexed="8"/>
      </bottom>
      <diagonal/>
    </border>
    <border>
      <left style="thin">
        <color indexed="29"/>
      </left>
      <right style="thin">
        <color indexed="12"/>
      </right>
      <top/>
      <bottom style="thin">
        <color indexed="8"/>
      </bottom>
      <diagonal/>
    </border>
    <border>
      <left style="thin">
        <color indexed="12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29"/>
      </right>
      <top style="thin">
        <color indexed="8"/>
      </top>
      <bottom style="thin">
        <color indexed="8"/>
      </bottom>
      <diagonal/>
    </border>
    <border>
      <left style="thin">
        <color indexed="29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/>
      <right style="thin">
        <color indexed="29"/>
      </right>
      <top style="thin">
        <color indexed="8"/>
      </top>
      <bottom/>
      <diagonal/>
    </border>
    <border>
      <left style="thin">
        <color indexed="29"/>
      </left>
      <right style="thin">
        <color indexed="12"/>
      </right>
      <top style="thin">
        <color indexed="8"/>
      </top>
      <bottom/>
      <diagonal/>
    </border>
    <border>
      <left style="thin">
        <color indexed="29"/>
      </left>
      <right style="thin">
        <color indexed="12"/>
      </right>
      <top/>
      <bottom style="thin">
        <color indexed="17"/>
      </bottom>
      <diagonal/>
    </border>
    <border>
      <left style="thin">
        <color indexed="29"/>
      </left>
      <right style="thin">
        <color indexed="29"/>
      </right>
      <top/>
      <bottom style="thin">
        <color indexed="17"/>
      </bottom>
      <diagonal/>
    </border>
    <border>
      <left style="thin">
        <color indexed="12"/>
      </left>
      <right style="thin">
        <color indexed="29"/>
      </right>
      <top/>
      <bottom style="thin">
        <color indexed="17"/>
      </bottom>
      <diagonal/>
    </border>
    <border>
      <left style="thin">
        <color indexed="29"/>
      </left>
      <right style="thin">
        <color indexed="29"/>
      </right>
      <top style="thin">
        <color indexed="8"/>
      </top>
      <bottom style="thin">
        <color indexed="8"/>
      </bottom>
      <diagonal/>
    </border>
    <border>
      <left style="thin">
        <color indexed="29"/>
      </left>
      <right style="thin">
        <color indexed="29"/>
      </right>
      <top/>
      <bottom/>
      <diagonal/>
    </border>
    <border>
      <left/>
      <right style="thin">
        <color indexed="29"/>
      </right>
      <top/>
      <bottom style="thin">
        <color indexed="17"/>
      </bottom>
      <diagonal/>
    </border>
    <border>
      <left/>
      <right style="thin">
        <color indexed="29"/>
      </right>
      <top style="thin">
        <color indexed="17"/>
      </top>
      <bottom style="thin">
        <color indexed="8"/>
      </bottom>
      <diagonal/>
    </border>
    <border>
      <left style="thin">
        <color indexed="29"/>
      </left>
      <right style="thin">
        <color indexed="12"/>
      </right>
      <top style="thin">
        <color indexed="17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29"/>
      </bottom>
      <diagonal/>
    </border>
    <border>
      <left/>
      <right/>
      <top style="thin">
        <color indexed="12"/>
      </top>
      <bottom style="thin">
        <color indexed="17"/>
      </bottom>
      <diagonal/>
    </border>
    <border>
      <left/>
      <right/>
      <top style="thin">
        <color indexed="29"/>
      </top>
      <bottom style="thin">
        <color indexed="12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9"/>
      </right>
      <top/>
      <bottom style="thin">
        <color indexed="23"/>
      </bottom>
      <diagonal/>
    </border>
    <border>
      <left style="thin">
        <color indexed="29"/>
      </left>
      <right style="thin">
        <color indexed="12"/>
      </right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thin">
        <color indexed="29"/>
      </right>
      <top style="thin">
        <color indexed="23"/>
      </top>
      <bottom/>
      <diagonal/>
    </border>
    <border>
      <left style="thin">
        <color indexed="29"/>
      </left>
      <right style="thin">
        <color indexed="12"/>
      </right>
      <top style="thin">
        <color indexed="23"/>
      </top>
      <bottom/>
      <diagonal/>
    </border>
    <border>
      <left style="thin">
        <color indexed="29"/>
      </left>
      <right/>
      <top style="thin">
        <color indexed="17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29"/>
      </bottom>
      <diagonal/>
    </border>
    <border>
      <left/>
      <right style="thin">
        <color indexed="12"/>
      </right>
      <top style="thin">
        <color indexed="8"/>
      </top>
      <bottom style="thin">
        <color indexed="29"/>
      </bottom>
      <diagonal/>
    </border>
    <border>
      <left/>
      <right style="thin">
        <color theme="0" tint="-0.14999847407452621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theme="0" tint="-0.14999847407452621"/>
      </right>
      <top style="thin">
        <color indexed="12"/>
      </top>
      <bottom/>
      <diagonal/>
    </border>
    <border>
      <left style="thin">
        <color indexed="12"/>
      </left>
      <right style="thin">
        <color theme="0" tint="-0.14999847407452621"/>
      </right>
      <top/>
      <bottom/>
      <diagonal/>
    </border>
    <border>
      <left style="thin">
        <color indexed="12"/>
      </left>
      <right style="thin">
        <color theme="0" tint="-0.14999847407452621"/>
      </right>
      <top/>
      <bottom style="thin">
        <color indexed="8"/>
      </bottom>
      <diagonal/>
    </border>
    <border>
      <left style="thin">
        <color indexed="12"/>
      </left>
      <right style="thin">
        <color theme="0" tint="-0.14999847407452621"/>
      </right>
      <top style="thin">
        <color indexed="8"/>
      </top>
      <bottom/>
      <diagonal/>
    </border>
    <border>
      <left style="thin">
        <color indexed="12"/>
      </left>
      <right style="thin">
        <color theme="0" tint="-0.14999847407452621"/>
      </right>
      <top/>
      <bottom style="thin">
        <color indexed="17"/>
      </bottom>
      <diagonal/>
    </border>
    <border>
      <left style="thin">
        <color indexed="12"/>
      </left>
      <right style="thin">
        <color theme="0" tint="-0.14999847407452621"/>
      </right>
      <top style="thin">
        <color indexed="17"/>
      </top>
      <bottom style="thin">
        <color indexed="17"/>
      </bottom>
      <diagonal/>
    </border>
    <border>
      <left style="thin">
        <color indexed="12"/>
      </left>
      <right style="thin">
        <color theme="0" tint="-0.14999847407452621"/>
      </right>
      <top style="thin">
        <color indexed="17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12"/>
      </top>
      <bottom style="thin">
        <color indexed="12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indexed="12"/>
      </left>
      <right style="thin">
        <color theme="0" tint="-0.14999847407452621"/>
      </right>
      <top style="thin">
        <color indexed="17"/>
      </top>
      <bottom style="thin">
        <color indexed="8"/>
      </bottom>
      <diagonal/>
    </border>
    <border>
      <left style="thin">
        <color indexed="12"/>
      </left>
      <right style="thin">
        <color theme="0" tint="-0.14999847407452621"/>
      </right>
      <top style="thin">
        <color indexed="8"/>
      </top>
      <bottom style="thin">
        <color indexed="12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indexed="17"/>
      </top>
      <bottom/>
      <diagonal/>
    </border>
    <border>
      <left/>
      <right style="thin">
        <color indexed="17"/>
      </right>
      <top style="thin">
        <color indexed="12"/>
      </top>
      <bottom style="thin">
        <color indexed="17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indexed="8"/>
      </bottom>
      <diagonal/>
    </border>
    <border>
      <left/>
      <right style="thin">
        <color theme="0" tint="-0.14999847407452621"/>
      </right>
      <top style="thin">
        <color indexed="8"/>
      </top>
      <bottom/>
      <diagonal/>
    </border>
    <border>
      <left/>
      <right style="thin">
        <color theme="0" tint="-0.14999847407452621"/>
      </right>
      <top/>
      <bottom style="thin">
        <color indexed="17"/>
      </bottom>
      <diagonal/>
    </border>
    <border>
      <left/>
      <right style="thin">
        <color theme="0" tint="-0.14999847407452621"/>
      </right>
      <top style="thin">
        <color indexed="17"/>
      </top>
      <bottom style="thin">
        <color indexed="17"/>
      </bottom>
      <diagonal/>
    </border>
    <border>
      <left style="thin">
        <color indexed="10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indexed="8"/>
      </top>
      <bottom style="thin">
        <color theme="0" tint="-0.14999847407452621"/>
      </bottom>
      <diagonal/>
    </border>
    <border>
      <left/>
      <right/>
      <top style="thin">
        <color indexed="8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indexed="8"/>
      </top>
      <bottom style="thin">
        <color theme="0" tint="-0.14999847407452621"/>
      </bottom>
      <diagonal/>
    </border>
    <border>
      <left/>
      <right style="thin">
        <color indexed="12"/>
      </right>
      <top style="thin">
        <color indexed="8"/>
      </top>
      <bottom style="thin">
        <color theme="0" tint="-0.14999847407452621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theme="0" tint="-0.14999847407452621"/>
      </bottom>
      <diagonal/>
    </border>
    <border>
      <left style="hair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hair">
        <color theme="0" tint="-0.14993743705557422"/>
      </left>
      <right style="hair">
        <color theme="0" tint="-0.14993743705557422"/>
      </right>
      <top/>
      <bottom style="thin">
        <color theme="0" tint="-0.14996795556505021"/>
      </bottom>
      <diagonal/>
    </border>
    <border>
      <left/>
      <right style="hair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hair">
        <color theme="0" tint="-0.14993743705557422"/>
      </left>
      <right style="thin">
        <color theme="0" tint="-0.14996795556505021"/>
      </right>
      <top/>
      <bottom/>
      <diagonal/>
    </border>
    <border>
      <left style="hair">
        <color theme="0" tint="-0.14993743705557422"/>
      </left>
      <right style="hair">
        <color theme="0" tint="-0.14993743705557422"/>
      </right>
      <top/>
      <bottom/>
      <diagonal/>
    </border>
    <border>
      <left/>
      <right style="hair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hair">
        <color theme="0" tint="-0.14993743705557422"/>
      </right>
      <top style="thin">
        <color theme="0" tint="-0.14999847407452621"/>
      </top>
      <bottom/>
      <diagonal/>
    </border>
    <border>
      <left style="thin">
        <color theme="0" tint="-0.14996795556505021"/>
      </left>
      <right/>
      <top style="double">
        <color theme="0" tint="-0.14993743705557422"/>
      </top>
      <bottom style="thin">
        <color theme="0" tint="-0.14999847407452621"/>
      </bottom>
      <diagonal/>
    </border>
    <border>
      <left/>
      <right/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9847407452621"/>
      </bottom>
      <diagonal/>
    </border>
  </borders>
  <cellStyleXfs count="7">
    <xf numFmtId="0" fontId="0" fillId="0" borderId="0" applyNumberFormat="0" applyFill="0" applyBorder="0" applyProtection="0"/>
    <xf numFmtId="9" fontId="52" fillId="0" borderId="0" applyFont="0" applyFill="0" applyBorder="0" applyAlignment="0" applyProtection="0"/>
    <xf numFmtId="43" fontId="57" fillId="0" borderId="0" applyFont="0" applyFill="0" applyBorder="0" applyAlignment="0" applyProtection="0"/>
    <xf numFmtId="179" fontId="58" fillId="0" borderId="10"/>
    <xf numFmtId="0" fontId="1" fillId="0" borderId="10"/>
    <xf numFmtId="0" fontId="68" fillId="0" borderId="10" applyFill="0" applyBorder="0" applyProtection="0">
      <protection locked="0"/>
    </xf>
    <xf numFmtId="0" fontId="73" fillId="0" borderId="10" applyNumberFormat="0" applyFill="0" applyBorder="0" applyAlignment="0" applyProtection="0"/>
  </cellStyleXfs>
  <cellXfs count="620">
    <xf numFmtId="0" fontId="0" fillId="0" borderId="0" xfId="0"/>
    <xf numFmtId="0" fontId="0" fillId="0" borderId="0" xfId="0" applyNumberFormat="1"/>
    <xf numFmtId="165" fontId="2" fillId="2" borderId="1" xfId="0" applyNumberFormat="1" applyFont="1" applyFill="1" applyBorder="1"/>
    <xf numFmtId="0" fontId="0" fillId="2" borderId="2" xfId="0" applyFill="1" applyBorder="1"/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165" fontId="5" fillId="2" borderId="7" xfId="0" applyNumberFormat="1" applyFont="1" applyFill="1" applyBorder="1"/>
    <xf numFmtId="165" fontId="6" fillId="2" borderId="7" xfId="0" applyNumberFormat="1" applyFont="1" applyFill="1" applyBorder="1" applyAlignment="1">
      <alignment horizontal="left"/>
    </xf>
    <xf numFmtId="165" fontId="7" fillId="2" borderId="7" xfId="0" applyNumberFormat="1" applyFont="1" applyFill="1" applyBorder="1" applyAlignment="1">
      <alignment horizontal="left"/>
    </xf>
    <xf numFmtId="165" fontId="7" fillId="2" borderId="7" xfId="0" applyNumberFormat="1" applyFont="1" applyFill="1" applyBorder="1"/>
    <xf numFmtId="165" fontId="7" fillId="2" borderId="8" xfId="0" applyNumberFormat="1" applyFont="1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49" fontId="9" fillId="2" borderId="9" xfId="0" applyNumberFormat="1" applyFont="1" applyFill="1" applyBorder="1" applyAlignment="1">
      <alignment vertical="center"/>
    </xf>
    <xf numFmtId="49" fontId="9" fillId="2" borderId="10" xfId="0" applyNumberFormat="1" applyFont="1" applyFill="1" applyBorder="1" applyAlignment="1">
      <alignment vertical="center"/>
    </xf>
    <xf numFmtId="165" fontId="10" fillId="2" borderId="9" xfId="0" applyNumberFormat="1" applyFont="1" applyFill="1" applyBorder="1"/>
    <xf numFmtId="165" fontId="10" fillId="2" borderId="10" xfId="0" applyNumberFormat="1" applyFont="1" applyFill="1" applyBorder="1"/>
    <xf numFmtId="165" fontId="7" fillId="2" borderId="10" xfId="0" applyNumberFormat="1" applyFont="1" applyFill="1" applyBorder="1"/>
    <xf numFmtId="165" fontId="0" fillId="2" borderId="13" xfId="0" applyNumberFormat="1" applyFill="1" applyBorder="1" applyAlignment="1">
      <alignment horizontal="left" vertical="center"/>
    </xf>
    <xf numFmtId="165" fontId="0" fillId="2" borderId="14" xfId="0" applyNumberFormat="1" applyFill="1" applyBorder="1" applyAlignment="1">
      <alignment horizontal="left" vertical="center"/>
    </xf>
    <xf numFmtId="165" fontId="0" fillId="2" borderId="15" xfId="0" applyNumberFormat="1" applyFill="1" applyBorder="1" applyAlignment="1">
      <alignment horizontal="left" vertical="center"/>
    </xf>
    <xf numFmtId="165" fontId="0" fillId="2" borderId="9" xfId="0" applyNumberFormat="1" applyFill="1" applyBorder="1" applyAlignment="1">
      <alignment horizontal="left" vertical="center"/>
    </xf>
    <xf numFmtId="165" fontId="0" fillId="2" borderId="10" xfId="0" applyNumberFormat="1" applyFill="1" applyBorder="1" applyAlignment="1">
      <alignment horizontal="left" vertical="center"/>
    </xf>
    <xf numFmtId="49" fontId="11" fillId="2" borderId="16" xfId="0" applyNumberFormat="1" applyFont="1" applyFill="1" applyBorder="1"/>
    <xf numFmtId="165" fontId="11" fillId="2" borderId="17" xfId="0" applyNumberFormat="1" applyFont="1" applyFill="1" applyBorder="1"/>
    <xf numFmtId="165" fontId="11" fillId="2" borderId="18" xfId="0" applyNumberFormat="1" applyFont="1" applyFill="1" applyBorder="1"/>
    <xf numFmtId="49" fontId="12" fillId="2" borderId="9" xfId="0" applyNumberFormat="1" applyFont="1" applyFill="1" applyBorder="1" applyAlignment="1">
      <alignment horizontal="left"/>
    </xf>
    <xf numFmtId="49" fontId="12" fillId="2" borderId="10" xfId="0" applyNumberFormat="1" applyFont="1" applyFill="1" applyBorder="1" applyAlignment="1">
      <alignment horizontal="left"/>
    </xf>
    <xf numFmtId="165" fontId="12" fillId="2" borderId="10" xfId="0" applyNumberFormat="1" applyFont="1" applyFill="1" applyBorder="1" applyAlignment="1">
      <alignment horizontal="left"/>
    </xf>
    <xf numFmtId="165" fontId="12" fillId="2" borderId="12" xfId="0" applyNumberFormat="1" applyFont="1" applyFill="1" applyBorder="1" applyAlignment="1">
      <alignment horizontal="left"/>
    </xf>
    <xf numFmtId="165" fontId="0" fillId="2" borderId="9" xfId="0" applyNumberFormat="1" applyFill="1" applyBorder="1" applyAlignment="1">
      <alignment horizontal="left"/>
    </xf>
    <xf numFmtId="165" fontId="0" fillId="2" borderId="10" xfId="0" applyNumberFormat="1" applyFill="1" applyBorder="1" applyAlignment="1">
      <alignment horizontal="left"/>
    </xf>
    <xf numFmtId="167" fontId="8" fillId="2" borderId="19" xfId="0" applyNumberFormat="1" applyFont="1" applyFill="1" applyBorder="1" applyAlignment="1">
      <alignment horizontal="center" vertical="center"/>
    </xf>
    <xf numFmtId="49" fontId="13" fillId="2" borderId="20" xfId="0" applyNumberFormat="1" applyFont="1" applyFill="1" applyBorder="1" applyAlignment="1">
      <alignment horizontal="left" vertical="center"/>
    </xf>
    <xf numFmtId="166" fontId="13" fillId="2" borderId="21" xfId="0" applyNumberFormat="1" applyFont="1" applyFill="1" applyBorder="1" applyAlignment="1">
      <alignment horizontal="left" vertical="center"/>
    </xf>
    <xf numFmtId="165" fontId="14" fillId="2" borderId="9" xfId="0" applyNumberFormat="1" applyFont="1" applyFill="1" applyBorder="1" applyAlignment="1">
      <alignment vertical="center"/>
    </xf>
    <xf numFmtId="165" fontId="0" fillId="2" borderId="10" xfId="0" applyNumberFormat="1" applyFill="1" applyBorder="1" applyAlignment="1">
      <alignment vertical="center"/>
    </xf>
    <xf numFmtId="165" fontId="0" fillId="2" borderId="11" xfId="0" applyNumberFormat="1" applyFill="1" applyBorder="1" applyAlignment="1">
      <alignment vertical="center"/>
    </xf>
    <xf numFmtId="167" fontId="8" fillId="2" borderId="25" xfId="0" applyNumberFormat="1" applyFont="1" applyFill="1" applyBorder="1" applyAlignment="1">
      <alignment horizontal="center" vertical="center"/>
    </xf>
    <xf numFmtId="49" fontId="13" fillId="2" borderId="26" xfId="0" applyNumberFormat="1" applyFont="1" applyFill="1" applyBorder="1" applyAlignment="1">
      <alignment horizontal="left" vertical="center"/>
    </xf>
    <xf numFmtId="166" fontId="13" fillId="2" borderId="27" xfId="0" applyNumberFormat="1" applyFont="1" applyFill="1" applyBorder="1" applyAlignment="1">
      <alignment horizontal="left" vertical="center"/>
    </xf>
    <xf numFmtId="167" fontId="8" fillId="2" borderId="31" xfId="0" applyNumberFormat="1" applyFont="1" applyFill="1" applyBorder="1" applyAlignment="1">
      <alignment horizontal="center" vertical="center"/>
    </xf>
    <xf numFmtId="49" fontId="13" fillId="2" borderId="32" xfId="0" applyNumberFormat="1" applyFont="1" applyFill="1" applyBorder="1" applyAlignment="1">
      <alignment horizontal="left" vertical="center"/>
    </xf>
    <xf numFmtId="166" fontId="13" fillId="2" borderId="33" xfId="0" applyNumberFormat="1" applyFont="1" applyFill="1" applyBorder="1" applyAlignment="1">
      <alignment horizontal="left" vertical="center"/>
    </xf>
    <xf numFmtId="0" fontId="0" fillId="2" borderId="37" xfId="0" applyFill="1" applyBorder="1"/>
    <xf numFmtId="165" fontId="0" fillId="2" borderId="7" xfId="0" applyNumberFormat="1" applyFill="1" applyBorder="1" applyAlignment="1">
      <alignment horizontal="left" vertical="center"/>
    </xf>
    <xf numFmtId="165" fontId="15" fillId="2" borderId="10" xfId="0" applyNumberFormat="1" applyFont="1" applyFill="1" applyBorder="1"/>
    <xf numFmtId="165" fontId="16" fillId="2" borderId="10" xfId="0" applyNumberFormat="1" applyFont="1" applyFill="1" applyBorder="1"/>
    <xf numFmtId="49" fontId="17" fillId="2" borderId="37" xfId="0" applyNumberFormat="1" applyFont="1" applyFill="1" applyBorder="1"/>
    <xf numFmtId="49" fontId="17" fillId="2" borderId="38" xfId="0" applyNumberFormat="1" applyFont="1" applyFill="1" applyBorder="1"/>
    <xf numFmtId="0" fontId="0" fillId="2" borderId="39" xfId="0" applyFill="1" applyBorder="1"/>
    <xf numFmtId="0" fontId="0" fillId="2" borderId="40" xfId="0" applyFill="1" applyBorder="1"/>
    <xf numFmtId="168" fontId="2" fillId="2" borderId="1" xfId="0" applyNumberFormat="1" applyFont="1" applyFill="1" applyBorder="1"/>
    <xf numFmtId="49" fontId="18" fillId="2" borderId="3" xfId="0" applyNumberFormat="1" applyFont="1" applyFill="1" applyBorder="1" applyAlignment="1">
      <alignment horizontal="left" vertical="center"/>
    </xf>
    <xf numFmtId="168" fontId="18" fillId="2" borderId="3" xfId="0" applyNumberFormat="1" applyFont="1" applyFill="1" applyBorder="1" applyAlignment="1">
      <alignment horizontal="left" vertical="center"/>
    </xf>
    <xf numFmtId="0" fontId="0" fillId="2" borderId="41" xfId="0" applyFill="1" applyBorder="1"/>
    <xf numFmtId="0" fontId="0" fillId="2" borderId="42" xfId="0" applyFill="1" applyBorder="1"/>
    <xf numFmtId="49" fontId="0" fillId="2" borderId="3" xfId="0" applyNumberFormat="1" applyFill="1" applyBorder="1"/>
    <xf numFmtId="168" fontId="18" fillId="2" borderId="10" xfId="0" applyNumberFormat="1" applyFont="1" applyFill="1" applyBorder="1" applyAlignment="1">
      <alignment horizontal="left" vertical="center"/>
    </xf>
    <xf numFmtId="0" fontId="0" fillId="2" borderId="12" xfId="0" applyFill="1" applyBorder="1"/>
    <xf numFmtId="0" fontId="0" fillId="2" borderId="43" xfId="0" applyFill="1" applyBorder="1"/>
    <xf numFmtId="0" fontId="0" fillId="2" borderId="44" xfId="0" applyFill="1" applyBorder="1"/>
    <xf numFmtId="168" fontId="20" fillId="2" borderId="10" xfId="0" applyNumberFormat="1" applyFont="1" applyFill="1" applyBorder="1" applyAlignment="1">
      <alignment vertical="center"/>
    </xf>
    <xf numFmtId="168" fontId="20" fillId="2" borderId="12" xfId="0" applyNumberFormat="1" applyFont="1" applyFill="1" applyBorder="1" applyAlignment="1">
      <alignment vertical="center"/>
    </xf>
    <xf numFmtId="49" fontId="21" fillId="2" borderId="45" xfId="0" applyNumberFormat="1" applyFont="1" applyFill="1" applyBorder="1" applyAlignment="1">
      <alignment horizontal="center" vertical="center"/>
    </xf>
    <xf numFmtId="49" fontId="21" fillId="2" borderId="46" xfId="0" applyNumberFormat="1" applyFont="1" applyFill="1" applyBorder="1" applyAlignment="1">
      <alignment horizontal="center" vertical="center"/>
    </xf>
    <xf numFmtId="168" fontId="21" fillId="2" borderId="47" xfId="0" applyNumberFormat="1" applyFont="1" applyFill="1" applyBorder="1" applyAlignment="1">
      <alignment horizontal="center"/>
    </xf>
    <xf numFmtId="168" fontId="22" fillId="2" borderId="44" xfId="0" applyNumberFormat="1" applyFont="1" applyFill="1" applyBorder="1"/>
    <xf numFmtId="168" fontId="22" fillId="2" borderId="48" xfId="0" applyNumberFormat="1" applyFont="1" applyFill="1" applyBorder="1"/>
    <xf numFmtId="168" fontId="22" fillId="2" borderId="45" xfId="0" applyNumberFormat="1" applyFont="1" applyFill="1" applyBorder="1"/>
    <xf numFmtId="168" fontId="22" fillId="2" borderId="49" xfId="0" applyNumberFormat="1" applyFont="1" applyFill="1" applyBorder="1"/>
    <xf numFmtId="49" fontId="23" fillId="2" borderId="51" xfId="0" applyNumberFormat="1" applyFont="1" applyFill="1" applyBorder="1" applyAlignment="1">
      <alignment vertical="center"/>
    </xf>
    <xf numFmtId="168" fontId="23" fillId="2" borderId="52" xfId="0" applyNumberFormat="1" applyFont="1" applyFill="1" applyBorder="1" applyAlignment="1">
      <alignment vertical="center"/>
    </xf>
    <xf numFmtId="168" fontId="23" fillId="2" borderId="53" xfId="0" applyNumberFormat="1" applyFont="1" applyFill="1" applyBorder="1" applyAlignment="1">
      <alignment vertical="center"/>
    </xf>
    <xf numFmtId="168" fontId="23" fillId="2" borderId="50" xfId="0" applyNumberFormat="1" applyFont="1" applyFill="1" applyBorder="1" applyAlignment="1">
      <alignment vertical="center"/>
    </xf>
    <xf numFmtId="168" fontId="23" fillId="2" borderId="54" xfId="0" applyNumberFormat="1" applyFont="1" applyFill="1" applyBorder="1" applyAlignment="1">
      <alignment vertical="center"/>
    </xf>
    <xf numFmtId="49" fontId="24" fillId="2" borderId="55" xfId="0" applyNumberFormat="1" applyFont="1" applyFill="1" applyBorder="1"/>
    <xf numFmtId="168" fontId="22" fillId="2" borderId="9" xfId="0" applyNumberFormat="1" applyFont="1" applyFill="1" applyBorder="1"/>
    <xf numFmtId="168" fontId="22" fillId="2" borderId="10" xfId="0" applyNumberFormat="1" applyFont="1" applyFill="1" applyBorder="1"/>
    <xf numFmtId="49" fontId="27" fillId="2" borderId="12" xfId="0" applyNumberFormat="1" applyFont="1" applyFill="1" applyBorder="1" applyAlignment="1">
      <alignment horizontal="right"/>
    </xf>
    <xf numFmtId="169" fontId="0" fillId="2" borderId="57" xfId="0" applyNumberFormat="1" applyFill="1" applyBorder="1"/>
    <xf numFmtId="168" fontId="28" fillId="2" borderId="9" xfId="0" applyNumberFormat="1" applyFont="1" applyFill="1" applyBorder="1"/>
    <xf numFmtId="168" fontId="22" fillId="2" borderId="58" xfId="0" applyNumberFormat="1" applyFont="1" applyFill="1" applyBorder="1"/>
    <xf numFmtId="168" fontId="22" fillId="2" borderId="21" xfId="0" applyNumberFormat="1" applyFont="1" applyFill="1" applyBorder="1"/>
    <xf numFmtId="168" fontId="19" fillId="2" borderId="59" xfId="0" applyNumberFormat="1" applyFont="1" applyFill="1" applyBorder="1" applyAlignment="1">
      <alignment horizontal="right"/>
    </xf>
    <xf numFmtId="169" fontId="19" fillId="2" borderId="60" xfId="0" applyNumberFormat="1" applyFont="1" applyFill="1" applyBorder="1"/>
    <xf numFmtId="49" fontId="29" fillId="2" borderId="61" xfId="0" applyNumberFormat="1" applyFont="1" applyFill="1" applyBorder="1" applyAlignment="1">
      <alignment vertical="center"/>
    </xf>
    <xf numFmtId="168" fontId="29" fillId="2" borderId="62" xfId="0" applyNumberFormat="1" applyFont="1" applyFill="1" applyBorder="1"/>
    <xf numFmtId="169" fontId="30" fillId="2" borderId="64" xfId="0" applyNumberFormat="1" applyFont="1" applyFill="1" applyBorder="1"/>
    <xf numFmtId="169" fontId="29" fillId="2" borderId="65" xfId="0" applyNumberFormat="1" applyFont="1" applyFill="1" applyBorder="1"/>
    <xf numFmtId="168" fontId="15" fillId="2" borderId="5" xfId="0" applyNumberFormat="1" applyFont="1" applyFill="1" applyBorder="1" applyAlignment="1">
      <alignment horizontal="right"/>
    </xf>
    <xf numFmtId="49" fontId="31" fillId="2" borderId="66" xfId="0" applyNumberFormat="1" applyFont="1" applyFill="1" applyBorder="1" applyAlignment="1">
      <alignment horizontal="left"/>
    </xf>
    <xf numFmtId="165" fontId="31" fillId="2" borderId="67" xfId="0" applyNumberFormat="1" applyFont="1" applyFill="1" applyBorder="1" applyAlignment="1">
      <alignment horizontal="left"/>
    </xf>
    <xf numFmtId="165" fontId="31" fillId="2" borderId="68" xfId="0" applyNumberFormat="1" applyFont="1" applyFill="1" applyBorder="1" applyAlignment="1">
      <alignment horizontal="left"/>
    </xf>
    <xf numFmtId="170" fontId="32" fillId="2" borderId="69" xfId="0" applyNumberFormat="1" applyFont="1" applyFill="1" applyBorder="1" applyAlignment="1">
      <alignment horizontal="right"/>
    </xf>
    <xf numFmtId="170" fontId="32" fillId="2" borderId="66" xfId="0" applyNumberFormat="1" applyFont="1" applyFill="1" applyBorder="1" applyAlignment="1">
      <alignment horizontal="right"/>
    </xf>
    <xf numFmtId="168" fontId="28" fillId="2" borderId="10" xfId="0" applyNumberFormat="1" applyFont="1" applyFill="1" applyBorder="1"/>
    <xf numFmtId="168" fontId="0" fillId="2" borderId="58" xfId="0" applyNumberFormat="1" applyFill="1" applyBorder="1"/>
    <xf numFmtId="168" fontId="24" fillId="2" borderId="10" xfId="0" applyNumberFormat="1" applyFont="1" applyFill="1" applyBorder="1"/>
    <xf numFmtId="168" fontId="33" fillId="2" borderId="10" xfId="0" applyNumberFormat="1" applyFont="1" applyFill="1" applyBorder="1" applyAlignment="1">
      <alignment vertical="center"/>
    </xf>
    <xf numFmtId="168" fontId="27" fillId="2" borderId="12" xfId="0" applyNumberFormat="1" applyFont="1" applyFill="1" applyBorder="1" applyAlignment="1">
      <alignment horizontal="right"/>
    </xf>
    <xf numFmtId="168" fontId="34" fillId="2" borderId="57" xfId="0" applyNumberFormat="1" applyFont="1" applyFill="1" applyBorder="1" applyAlignment="1">
      <alignment vertical="center"/>
    </xf>
    <xf numFmtId="168" fontId="0" fillId="2" borderId="57" xfId="0" applyNumberFormat="1" applyFill="1" applyBorder="1"/>
    <xf numFmtId="0" fontId="0" fillId="2" borderId="57" xfId="0" applyFill="1" applyBorder="1"/>
    <xf numFmtId="168" fontId="7" fillId="2" borderId="5" xfId="0" applyNumberFormat="1" applyFont="1" applyFill="1" applyBorder="1"/>
    <xf numFmtId="168" fontId="34" fillId="2" borderId="10" xfId="0" applyNumberFormat="1" applyFont="1" applyFill="1" applyBorder="1" applyAlignment="1">
      <alignment vertical="center"/>
    </xf>
    <xf numFmtId="168" fontId="34" fillId="2" borderId="12" xfId="0" applyNumberFormat="1" applyFont="1" applyFill="1" applyBorder="1" applyAlignment="1">
      <alignment vertical="center"/>
    </xf>
    <xf numFmtId="168" fontId="34" fillId="2" borderId="9" xfId="0" applyNumberFormat="1" applyFont="1" applyFill="1" applyBorder="1" applyAlignment="1">
      <alignment vertical="center"/>
    </xf>
    <xf numFmtId="169" fontId="34" fillId="2" borderId="57" xfId="0" applyNumberFormat="1" applyFont="1" applyFill="1" applyBorder="1" applyAlignment="1">
      <alignment vertical="center"/>
    </xf>
    <xf numFmtId="168" fontId="0" fillId="2" borderId="9" xfId="0" applyNumberFormat="1" applyFill="1" applyBorder="1"/>
    <xf numFmtId="165" fontId="27" fillId="2" borderId="12" xfId="0" applyNumberFormat="1" applyFont="1" applyFill="1" applyBorder="1" applyAlignment="1">
      <alignment horizontal="right"/>
    </xf>
    <xf numFmtId="0" fontId="0" fillId="2" borderId="21" xfId="0" applyFill="1" applyBorder="1"/>
    <xf numFmtId="168" fontId="0" fillId="2" borderId="21" xfId="0" applyNumberFormat="1" applyFill="1" applyBorder="1"/>
    <xf numFmtId="168" fontId="33" fillId="2" borderId="21" xfId="0" applyNumberFormat="1" applyFont="1" applyFill="1" applyBorder="1" applyAlignment="1">
      <alignment vertical="center"/>
    </xf>
    <xf numFmtId="168" fontId="33" fillId="2" borderId="59" xfId="0" applyNumberFormat="1" applyFont="1" applyFill="1" applyBorder="1" applyAlignment="1">
      <alignment vertical="center"/>
    </xf>
    <xf numFmtId="169" fontId="0" fillId="2" borderId="60" xfId="0" applyNumberFormat="1" applyFill="1" applyBorder="1"/>
    <xf numFmtId="169" fontId="0" fillId="2" borderId="70" xfId="0" applyNumberFormat="1" applyFill="1" applyBorder="1"/>
    <xf numFmtId="169" fontId="29" fillId="2" borderId="71" xfId="0" applyNumberFormat="1" applyFont="1" applyFill="1" applyBorder="1"/>
    <xf numFmtId="168" fontId="19" fillId="2" borderId="12" xfId="0" applyNumberFormat="1" applyFont="1" applyFill="1" applyBorder="1" applyAlignment="1">
      <alignment horizontal="right"/>
    </xf>
    <xf numFmtId="168" fontId="19" fillId="2" borderId="57" xfId="0" applyNumberFormat="1" applyFont="1" applyFill="1" applyBorder="1"/>
    <xf numFmtId="49" fontId="24" fillId="2" borderId="9" xfId="0" applyNumberFormat="1" applyFont="1" applyFill="1" applyBorder="1"/>
    <xf numFmtId="168" fontId="27" fillId="2" borderId="59" xfId="0" applyNumberFormat="1" applyFont="1" applyFill="1" applyBorder="1" applyAlignment="1">
      <alignment horizontal="right"/>
    </xf>
    <xf numFmtId="169" fontId="30" fillId="2" borderId="65" xfId="0" applyNumberFormat="1" applyFont="1" applyFill="1" applyBorder="1"/>
    <xf numFmtId="168" fontId="19" fillId="2" borderId="60" xfId="0" applyNumberFormat="1" applyFont="1" applyFill="1" applyBorder="1"/>
    <xf numFmtId="169" fontId="19" fillId="2" borderId="57" xfId="0" applyNumberFormat="1" applyFont="1" applyFill="1" applyBorder="1"/>
    <xf numFmtId="168" fontId="22" fillId="2" borderId="73" xfId="0" applyNumberFormat="1" applyFont="1" applyFill="1" applyBorder="1"/>
    <xf numFmtId="168" fontId="22" fillId="2" borderId="74" xfId="0" applyNumberFormat="1" applyFont="1" applyFill="1" applyBorder="1"/>
    <xf numFmtId="49" fontId="27" fillId="2" borderId="75" xfId="0" applyNumberFormat="1" applyFont="1" applyFill="1" applyBorder="1" applyAlignment="1">
      <alignment horizontal="right"/>
    </xf>
    <xf numFmtId="169" fontId="19" fillId="2" borderId="76" xfId="0" applyNumberFormat="1" applyFont="1" applyFill="1" applyBorder="1"/>
    <xf numFmtId="165" fontId="0" fillId="2" borderId="5" xfId="0" applyNumberFormat="1" applyFill="1" applyBorder="1"/>
    <xf numFmtId="49" fontId="16" fillId="2" borderId="66" xfId="0" applyNumberFormat="1" applyFont="1" applyFill="1" applyBorder="1"/>
    <xf numFmtId="165" fontId="0" fillId="2" borderId="67" xfId="0" applyNumberFormat="1" applyFill="1" applyBorder="1"/>
    <xf numFmtId="165" fontId="0" fillId="2" borderId="68" xfId="0" applyNumberFormat="1" applyFill="1" applyBorder="1"/>
    <xf numFmtId="169" fontId="0" fillId="2" borderId="69" xfId="0" applyNumberFormat="1" applyFill="1" applyBorder="1"/>
    <xf numFmtId="49" fontId="31" fillId="2" borderId="77" xfId="0" applyNumberFormat="1" applyFont="1" applyFill="1" applyBorder="1" applyAlignment="1">
      <alignment horizontal="left"/>
    </xf>
    <xf numFmtId="165" fontId="31" fillId="2" borderId="78" xfId="0" applyNumberFormat="1" applyFont="1" applyFill="1" applyBorder="1" applyAlignment="1">
      <alignment horizontal="left"/>
    </xf>
    <xf numFmtId="165" fontId="31" fillId="2" borderId="79" xfId="0" applyNumberFormat="1" applyFont="1" applyFill="1" applyBorder="1" applyAlignment="1">
      <alignment horizontal="left"/>
    </xf>
    <xf numFmtId="170" fontId="32" fillId="2" borderId="80" xfId="0" applyNumberFormat="1" applyFont="1" applyFill="1" applyBorder="1" applyAlignment="1">
      <alignment horizontal="right"/>
    </xf>
    <xf numFmtId="165" fontId="31" fillId="2" borderId="6" xfId="0" applyNumberFormat="1" applyFont="1" applyFill="1" applyBorder="1" applyAlignment="1">
      <alignment horizontal="left"/>
    </xf>
    <xf numFmtId="165" fontId="31" fillId="2" borderId="7" xfId="0" applyNumberFormat="1" applyFont="1" applyFill="1" applyBorder="1" applyAlignment="1">
      <alignment horizontal="left"/>
    </xf>
    <xf numFmtId="165" fontId="31" fillId="2" borderId="8" xfId="0" applyNumberFormat="1" applyFont="1" applyFill="1" applyBorder="1" applyAlignment="1">
      <alignment horizontal="left"/>
    </xf>
    <xf numFmtId="170" fontId="32" fillId="2" borderId="56" xfId="0" applyNumberFormat="1" applyFont="1" applyFill="1" applyBorder="1" applyAlignment="1">
      <alignment horizontal="right"/>
    </xf>
    <xf numFmtId="169" fontId="34" fillId="2" borderId="82" xfId="0" applyNumberFormat="1" applyFont="1" applyFill="1" applyBorder="1" applyAlignment="1">
      <alignment vertical="center"/>
    </xf>
    <xf numFmtId="168" fontId="15" fillId="2" borderId="37" xfId="0" applyNumberFormat="1" applyFont="1" applyFill="1" applyBorder="1" applyAlignment="1">
      <alignment horizontal="right"/>
    </xf>
    <xf numFmtId="170" fontId="32" fillId="2" borderId="7" xfId="0" applyNumberFormat="1" applyFont="1" applyFill="1" applyBorder="1" applyAlignment="1">
      <alignment horizontal="right"/>
    </xf>
    <xf numFmtId="168" fontId="0" fillId="2" borderId="12" xfId="0" applyNumberFormat="1" applyFill="1" applyBorder="1"/>
    <xf numFmtId="168" fontId="0" fillId="2" borderId="48" xfId="0" applyNumberFormat="1" applyFill="1" applyBorder="1"/>
    <xf numFmtId="49" fontId="23" fillId="2" borderId="83" xfId="0" applyNumberFormat="1" applyFont="1" applyFill="1" applyBorder="1" applyAlignment="1">
      <alignment vertical="center"/>
    </xf>
    <xf numFmtId="49" fontId="21" fillId="2" borderId="54" xfId="0" applyNumberFormat="1" applyFont="1" applyFill="1" applyBorder="1" applyAlignment="1">
      <alignment horizontal="center" vertical="center"/>
    </xf>
    <xf numFmtId="168" fontId="0" fillId="2" borderId="5" xfId="0" applyNumberFormat="1" applyFill="1" applyBorder="1"/>
    <xf numFmtId="49" fontId="24" fillId="2" borderId="6" xfId="0" applyNumberFormat="1" applyFont="1" applyFill="1" applyBorder="1"/>
    <xf numFmtId="0" fontId="0" fillId="2" borderId="7" xfId="0" applyFill="1" applyBorder="1"/>
    <xf numFmtId="168" fontId="0" fillId="2" borderId="8" xfId="0" applyNumberFormat="1" applyFill="1" applyBorder="1"/>
    <xf numFmtId="168" fontId="0" fillId="2" borderId="56" xfId="0" applyNumberFormat="1" applyFill="1" applyBorder="1"/>
    <xf numFmtId="0" fontId="0" fillId="2" borderId="8" xfId="0" applyFill="1" applyBorder="1"/>
    <xf numFmtId="169" fontId="0" fillId="2" borderId="9" xfId="0" applyNumberFormat="1" applyFill="1" applyBorder="1"/>
    <xf numFmtId="169" fontId="0" fillId="2" borderId="12" xfId="0" applyNumberFormat="1" applyFill="1" applyBorder="1"/>
    <xf numFmtId="169" fontId="0" fillId="2" borderId="10" xfId="0" applyNumberFormat="1" applyFill="1" applyBorder="1"/>
    <xf numFmtId="0" fontId="0" fillId="2" borderId="73" xfId="0" applyFill="1" applyBorder="1"/>
    <xf numFmtId="0" fontId="0" fillId="2" borderId="74" xfId="0" applyFill="1" applyBorder="1"/>
    <xf numFmtId="168" fontId="0" fillId="2" borderId="76" xfId="0" applyNumberFormat="1" applyFill="1" applyBorder="1"/>
    <xf numFmtId="169" fontId="0" fillId="2" borderId="75" xfId="0" applyNumberFormat="1" applyFill="1" applyBorder="1"/>
    <xf numFmtId="168" fontId="0" fillId="2" borderId="69" xfId="0" applyNumberFormat="1" applyFill="1" applyBorder="1"/>
    <xf numFmtId="168" fontId="0" fillId="2" borderId="68" xfId="0" applyNumberFormat="1" applyFill="1" applyBorder="1"/>
    <xf numFmtId="168" fontId="19" fillId="2" borderId="76" xfId="0" applyNumberFormat="1" applyFont="1" applyFill="1" applyBorder="1"/>
    <xf numFmtId="169" fontId="19" fillId="2" borderId="73" xfId="0" applyNumberFormat="1" applyFont="1" applyFill="1" applyBorder="1"/>
    <xf numFmtId="169" fontId="0" fillId="2" borderId="68" xfId="0" applyNumberFormat="1" applyFill="1" applyBorder="1"/>
    <xf numFmtId="0" fontId="0" fillId="2" borderId="58" xfId="0" applyFill="1" applyBorder="1"/>
    <xf numFmtId="168" fontId="0" fillId="2" borderId="59" xfId="0" applyNumberFormat="1" applyFill="1" applyBorder="1"/>
    <xf numFmtId="168" fontId="0" fillId="2" borderId="60" xfId="0" applyNumberFormat="1" applyFill="1" applyBorder="1"/>
    <xf numFmtId="169" fontId="0" fillId="2" borderId="59" xfId="0" applyNumberFormat="1" applyFill="1" applyBorder="1"/>
    <xf numFmtId="49" fontId="29" fillId="2" borderId="84" xfId="0" applyNumberFormat="1" applyFont="1" applyFill="1" applyBorder="1" applyAlignment="1">
      <alignment vertical="center"/>
    </xf>
    <xf numFmtId="168" fontId="29" fillId="2" borderId="27" xfId="0" applyNumberFormat="1" applyFont="1" applyFill="1" applyBorder="1"/>
    <xf numFmtId="168" fontId="29" fillId="2" borderId="33" xfId="0" applyNumberFormat="1" applyFont="1" applyFill="1" applyBorder="1"/>
    <xf numFmtId="168" fontId="29" fillId="2" borderId="86" xfId="0" applyNumberFormat="1" applyFont="1" applyFill="1" applyBorder="1"/>
    <xf numFmtId="169" fontId="29" fillId="2" borderId="87" xfId="0" applyNumberFormat="1" applyFont="1" applyFill="1" applyBorder="1"/>
    <xf numFmtId="169" fontId="29" fillId="2" borderId="86" xfId="0" applyNumberFormat="1" applyFont="1" applyFill="1" applyBorder="1"/>
    <xf numFmtId="0" fontId="0" fillId="2" borderId="55" xfId="0" applyFill="1" applyBorder="1"/>
    <xf numFmtId="0" fontId="0" fillId="2" borderId="88" xfId="0" applyFill="1" applyBorder="1"/>
    <xf numFmtId="168" fontId="0" fillId="2" borderId="7" xfId="0" applyNumberFormat="1" applyFill="1" applyBorder="1"/>
    <xf numFmtId="168" fontId="0" fillId="2" borderId="89" xfId="0" applyNumberFormat="1" applyFill="1" applyBorder="1"/>
    <xf numFmtId="0" fontId="0" fillId="2" borderId="90" xfId="0" applyFill="1" applyBorder="1"/>
    <xf numFmtId="49" fontId="27" fillId="2" borderId="59" xfId="0" applyNumberFormat="1" applyFont="1" applyFill="1" applyBorder="1" applyAlignment="1">
      <alignment horizontal="right"/>
    </xf>
    <xf numFmtId="168" fontId="0" fillId="2" borderId="70" xfId="0" applyNumberFormat="1" applyFill="1" applyBorder="1"/>
    <xf numFmtId="49" fontId="35" fillId="2" borderId="10" xfId="0" applyNumberFormat="1" applyFont="1" applyFill="1" applyBorder="1" applyAlignment="1">
      <alignment horizontal="left"/>
    </xf>
    <xf numFmtId="49" fontId="35" fillId="2" borderId="67" xfId="0" applyNumberFormat="1" applyFont="1" applyFill="1" applyBorder="1" applyAlignment="1">
      <alignment horizontal="left"/>
    </xf>
    <xf numFmtId="169" fontId="0" fillId="2" borderId="69" xfId="0" applyNumberFormat="1" applyFill="1" applyBorder="1" applyAlignment="1">
      <alignment horizontal="center"/>
    </xf>
    <xf numFmtId="169" fontId="0" fillId="2" borderId="60" xfId="0" applyNumberFormat="1" applyFill="1" applyBorder="1" applyAlignment="1">
      <alignment horizontal="center"/>
    </xf>
    <xf numFmtId="165" fontId="36" fillId="2" borderId="1" xfId="0" applyNumberFormat="1" applyFont="1" applyFill="1" applyBorder="1"/>
    <xf numFmtId="171" fontId="18" fillId="2" borderId="3" xfId="0" applyNumberFormat="1" applyFont="1" applyFill="1" applyBorder="1" applyAlignment="1">
      <alignment horizontal="left" vertical="center"/>
    </xf>
    <xf numFmtId="0" fontId="0" fillId="2" borderId="1" xfId="0" applyFill="1" applyBorder="1"/>
    <xf numFmtId="172" fontId="18" fillId="2" borderId="21" xfId="0" applyNumberFormat="1" applyFont="1" applyFill="1" applyBorder="1" applyAlignment="1">
      <alignment horizontal="left" vertical="center"/>
    </xf>
    <xf numFmtId="171" fontId="18" fillId="2" borderId="21" xfId="0" applyNumberFormat="1" applyFont="1" applyFill="1" applyBorder="1" applyAlignment="1">
      <alignment horizontal="left" vertical="center"/>
    </xf>
    <xf numFmtId="49" fontId="19" fillId="2" borderId="21" xfId="0" applyNumberFormat="1" applyFont="1" applyFill="1" applyBorder="1" applyAlignment="1">
      <alignment horizontal="right"/>
    </xf>
    <xf numFmtId="167" fontId="33" fillId="2" borderId="21" xfId="0" applyNumberFormat="1" applyFont="1" applyFill="1" applyBorder="1" applyAlignment="1">
      <alignment horizontal="center"/>
    </xf>
    <xf numFmtId="0" fontId="0" fillId="2" borderId="91" xfId="0" applyFill="1" applyBorder="1"/>
    <xf numFmtId="49" fontId="23" fillId="2" borderId="92" xfId="0" applyNumberFormat="1" applyFont="1" applyFill="1" applyBorder="1"/>
    <xf numFmtId="165" fontId="23" fillId="2" borderId="27" xfId="0" applyNumberFormat="1" applyFont="1" applyFill="1" applyBorder="1"/>
    <xf numFmtId="165" fontId="23" fillId="2" borderId="28" xfId="0" applyNumberFormat="1" applyFont="1" applyFill="1" applyBorder="1"/>
    <xf numFmtId="49" fontId="23" fillId="2" borderId="29" xfId="0" applyNumberFormat="1" applyFont="1" applyFill="1" applyBorder="1" applyAlignment="1">
      <alignment horizontal="center"/>
    </xf>
    <xf numFmtId="49" fontId="23" fillId="2" borderId="93" xfId="0" applyNumberFormat="1" applyFont="1" applyFill="1" applyBorder="1" applyAlignment="1">
      <alignment horizontal="center"/>
    </xf>
    <xf numFmtId="0" fontId="0" fillId="2" borderId="94" xfId="0" applyFill="1" applyBorder="1"/>
    <xf numFmtId="165" fontId="0" fillId="2" borderId="37" xfId="0" applyNumberFormat="1" applyFill="1" applyBorder="1"/>
    <xf numFmtId="165" fontId="37" fillId="2" borderId="27" xfId="0" applyNumberFormat="1" applyFont="1" applyFill="1" applyBorder="1" applyAlignment="1">
      <alignment vertical="center"/>
    </xf>
    <xf numFmtId="165" fontId="38" fillId="2" borderId="27" xfId="0" applyNumberFormat="1" applyFont="1" applyFill="1" applyBorder="1" applyAlignment="1">
      <alignment vertical="center"/>
    </xf>
    <xf numFmtId="0" fontId="37" fillId="2" borderId="33" xfId="0" applyFont="1" applyFill="1" applyBorder="1" applyAlignment="1">
      <alignment horizontal="center" vertical="center"/>
    </xf>
    <xf numFmtId="0" fontId="0" fillId="2" borderId="95" xfId="0" applyFill="1" applyBorder="1"/>
    <xf numFmtId="49" fontId="23" fillId="2" borderId="26" xfId="0" applyNumberFormat="1" applyFont="1" applyFill="1" applyBorder="1"/>
    <xf numFmtId="49" fontId="23" fillId="2" borderId="96" xfId="0" applyNumberFormat="1" applyFont="1" applyFill="1" applyBorder="1" applyAlignment="1">
      <alignment horizontal="center"/>
    </xf>
    <xf numFmtId="49" fontId="23" fillId="2" borderId="97" xfId="0" applyNumberFormat="1" applyFont="1" applyFill="1" applyBorder="1" applyAlignment="1">
      <alignment horizontal="center"/>
    </xf>
    <xf numFmtId="165" fontId="39" fillId="2" borderId="55" xfId="0" applyNumberFormat="1" applyFont="1" applyFill="1" applyBorder="1"/>
    <xf numFmtId="165" fontId="39" fillId="2" borderId="88" xfId="0" applyNumberFormat="1" applyFont="1" applyFill="1" applyBorder="1"/>
    <xf numFmtId="165" fontId="31" fillId="2" borderId="98" xfId="0" applyNumberFormat="1" applyFont="1" applyFill="1" applyBorder="1" applyAlignment="1">
      <alignment horizontal="right"/>
    </xf>
    <xf numFmtId="173" fontId="0" fillId="2" borderId="99" xfId="0" applyNumberFormat="1" applyFill="1" applyBorder="1" applyAlignment="1">
      <alignment horizontal="center"/>
    </xf>
    <xf numFmtId="173" fontId="0" fillId="2" borderId="89" xfId="0" applyNumberFormat="1" applyFill="1" applyBorder="1" applyAlignment="1">
      <alignment horizontal="center"/>
    </xf>
    <xf numFmtId="49" fontId="16" fillId="2" borderId="9" xfId="0" applyNumberFormat="1" applyFont="1" applyFill="1" applyBorder="1"/>
    <xf numFmtId="165" fontId="35" fillId="2" borderId="10" xfId="0" applyNumberFormat="1" applyFont="1" applyFill="1" applyBorder="1" applyAlignment="1">
      <alignment horizontal="left"/>
    </xf>
    <xf numFmtId="165" fontId="0" fillId="2" borderId="10" xfId="0" applyNumberFormat="1" applyFill="1" applyBorder="1"/>
    <xf numFmtId="165" fontId="0" fillId="2" borderId="100" xfId="0" applyNumberFormat="1" applyFill="1" applyBorder="1"/>
    <xf numFmtId="2" fontId="0" fillId="2" borderId="101" xfId="0" applyNumberFormat="1" applyFill="1" applyBorder="1" applyAlignment="1">
      <alignment horizontal="center"/>
    </xf>
    <xf numFmtId="2" fontId="0" fillId="2" borderId="57" xfId="0" applyNumberFormat="1" applyFill="1" applyBorder="1" applyAlignment="1">
      <alignment horizontal="center"/>
    </xf>
    <xf numFmtId="2" fontId="0" fillId="2" borderId="24" xfId="0" applyNumberFormat="1" applyFill="1" applyBorder="1" applyAlignment="1">
      <alignment horizontal="center"/>
    </xf>
    <xf numFmtId="2" fontId="0" fillId="2" borderId="60" xfId="0" applyNumberFormat="1" applyFill="1" applyBorder="1" applyAlignment="1">
      <alignment horizontal="center"/>
    </xf>
    <xf numFmtId="49" fontId="0" fillId="2" borderId="10" xfId="0" applyNumberFormat="1" applyFill="1" applyBorder="1" applyAlignment="1">
      <alignment horizontal="left"/>
    </xf>
    <xf numFmtId="165" fontId="0" fillId="2" borderId="21" xfId="0" applyNumberFormat="1" applyFill="1" applyBorder="1"/>
    <xf numFmtId="170" fontId="40" fillId="3" borderId="102" xfId="0" applyNumberFormat="1" applyFont="1" applyFill="1" applyBorder="1" applyAlignment="1">
      <alignment horizontal="center"/>
    </xf>
    <xf numFmtId="0" fontId="0" fillId="2" borderId="103" xfId="0" applyFill="1" applyBorder="1"/>
    <xf numFmtId="169" fontId="40" fillId="3" borderId="28" xfId="0" applyNumberFormat="1" applyFont="1" applyFill="1" applyBorder="1" applyAlignment="1">
      <alignment horizontal="center"/>
    </xf>
    <xf numFmtId="165" fontId="0" fillId="2" borderId="103" xfId="0" applyNumberFormat="1" applyFill="1" applyBorder="1"/>
    <xf numFmtId="49" fontId="39" fillId="2" borderId="100" xfId="0" applyNumberFormat="1" applyFont="1" applyFill="1" applyBorder="1" applyAlignment="1">
      <alignment horizontal="right"/>
    </xf>
    <xf numFmtId="169" fontId="0" fillId="2" borderId="101" xfId="0" applyNumberFormat="1" applyFill="1" applyBorder="1" applyAlignment="1">
      <alignment horizontal="center"/>
    </xf>
    <xf numFmtId="169" fontId="0" fillId="2" borderId="57" xfId="0" applyNumberFormat="1" applyFill="1" applyBorder="1" applyAlignment="1">
      <alignment horizontal="center"/>
    </xf>
    <xf numFmtId="169" fontId="0" fillId="2" borderId="104" xfId="0" applyNumberFormat="1" applyFill="1" applyBorder="1" applyAlignment="1">
      <alignment horizontal="center"/>
    </xf>
    <xf numFmtId="49" fontId="0" fillId="2" borderId="74" xfId="0" applyNumberFormat="1" applyFill="1" applyBorder="1" applyAlignment="1">
      <alignment horizontal="left"/>
    </xf>
    <xf numFmtId="169" fontId="40" fillId="3" borderId="105" xfId="0" applyNumberFormat="1" applyFont="1" applyFill="1" applyBorder="1" applyAlignment="1">
      <alignment horizontal="center"/>
    </xf>
    <xf numFmtId="0" fontId="0" fillId="2" borderId="106" xfId="0" applyFill="1" applyBorder="1"/>
    <xf numFmtId="165" fontId="0" fillId="2" borderId="74" xfId="0" applyNumberFormat="1" applyFill="1" applyBorder="1"/>
    <xf numFmtId="165" fontId="0" fillId="2" borderId="107" xfId="0" applyNumberFormat="1" applyFill="1" applyBorder="1"/>
    <xf numFmtId="3" fontId="0" fillId="2" borderId="108" xfId="0" applyNumberFormat="1" applyFill="1" applyBorder="1" applyAlignment="1">
      <alignment horizontal="center"/>
    </xf>
    <xf numFmtId="3" fontId="0" fillId="2" borderId="76" xfId="0" applyNumberFormat="1" applyFill="1" applyBorder="1" applyAlignment="1">
      <alignment horizontal="center"/>
    </xf>
    <xf numFmtId="165" fontId="0" fillId="2" borderId="9" xfId="0" applyNumberFormat="1" applyFill="1" applyBorder="1"/>
    <xf numFmtId="165" fontId="0" fillId="2" borderId="109" xfId="0" applyNumberFormat="1" applyFill="1" applyBorder="1"/>
    <xf numFmtId="3" fontId="0" fillId="2" borderId="110" xfId="0" applyNumberFormat="1" applyFill="1" applyBorder="1" applyAlignment="1">
      <alignment horizontal="center"/>
    </xf>
    <xf numFmtId="3" fontId="0" fillId="2" borderId="69" xfId="0" applyNumberFormat="1" applyFill="1" applyBorder="1" applyAlignment="1">
      <alignment horizontal="center"/>
    </xf>
    <xf numFmtId="3" fontId="0" fillId="2" borderId="101" xfId="0" applyNumberFormat="1" applyFill="1" applyBorder="1" applyAlignment="1">
      <alignment horizontal="center"/>
    </xf>
    <xf numFmtId="3" fontId="0" fillId="2" borderId="57" xfId="0" applyNumberFormat="1" applyFill="1" applyBorder="1" applyAlignment="1">
      <alignment horizontal="center"/>
    </xf>
    <xf numFmtId="3" fontId="0" fillId="2" borderId="24" xfId="0" applyNumberFormat="1" applyFill="1" applyBorder="1" applyAlignment="1">
      <alignment horizontal="center"/>
    </xf>
    <xf numFmtId="3" fontId="0" fillId="2" borderId="60" xfId="0" applyNumberFormat="1" applyFill="1" applyBorder="1" applyAlignment="1">
      <alignment horizontal="center"/>
    </xf>
    <xf numFmtId="165" fontId="0" fillId="2" borderId="21" xfId="0" applyNumberFormat="1" applyFill="1" applyBorder="1" applyAlignment="1">
      <alignment horizontal="left"/>
    </xf>
    <xf numFmtId="49" fontId="0" fillId="2" borderId="100" xfId="0" applyNumberFormat="1" applyFill="1" applyBorder="1" applyAlignment="1">
      <alignment horizontal="left"/>
    </xf>
    <xf numFmtId="2" fontId="40" fillId="3" borderId="102" xfId="0" applyNumberFormat="1" applyFont="1" applyFill="1" applyBorder="1" applyAlignment="1">
      <alignment horizontal="center"/>
    </xf>
    <xf numFmtId="165" fontId="0" fillId="2" borderId="74" xfId="0" applyNumberFormat="1" applyFill="1" applyBorder="1" applyAlignment="1">
      <alignment horizontal="left"/>
    </xf>
    <xf numFmtId="49" fontId="35" fillId="2" borderId="66" xfId="0" applyNumberFormat="1" applyFont="1" applyFill="1" applyBorder="1" applyAlignment="1">
      <alignment horizontal="left"/>
    </xf>
    <xf numFmtId="3" fontId="0" fillId="2" borderId="109" xfId="0" applyNumberFormat="1" applyFill="1" applyBorder="1" applyAlignment="1">
      <alignment horizontal="center"/>
    </xf>
    <xf numFmtId="49" fontId="0" fillId="2" borderId="107" xfId="0" applyNumberFormat="1" applyFill="1" applyBorder="1" applyAlignment="1">
      <alignment horizontal="left"/>
    </xf>
    <xf numFmtId="10" fontId="40" fillId="3" borderId="111" xfId="0" applyNumberFormat="1" applyFont="1" applyFill="1" applyBorder="1" applyAlignment="1">
      <alignment horizontal="center"/>
    </xf>
    <xf numFmtId="174" fontId="0" fillId="2" borderId="74" xfId="0" applyNumberFormat="1" applyFill="1" applyBorder="1"/>
    <xf numFmtId="49" fontId="41" fillId="2" borderId="107" xfId="0" applyNumberFormat="1" applyFont="1" applyFill="1" applyBorder="1" applyAlignment="1">
      <alignment horizontal="right"/>
    </xf>
    <xf numFmtId="1" fontId="0" fillId="2" borderId="108" xfId="0" applyNumberFormat="1" applyFill="1" applyBorder="1" applyAlignment="1">
      <alignment horizontal="center"/>
    </xf>
    <xf numFmtId="1" fontId="0" fillId="2" borderId="76" xfId="0" applyNumberFormat="1" applyFill="1" applyBorder="1" applyAlignment="1">
      <alignment horizontal="center"/>
    </xf>
    <xf numFmtId="49" fontId="0" fillId="2" borderId="21" xfId="0" applyNumberFormat="1" applyFill="1" applyBorder="1"/>
    <xf numFmtId="49" fontId="0" fillId="2" borderId="10" xfId="0" applyNumberFormat="1" applyFill="1" applyBorder="1"/>
    <xf numFmtId="10" fontId="40" fillId="3" borderId="88" xfId="0" applyNumberFormat="1" applyFont="1" applyFill="1" applyBorder="1" applyAlignment="1">
      <alignment horizontal="center"/>
    </xf>
    <xf numFmtId="165" fontId="39" fillId="2" borderId="10" xfId="0" applyNumberFormat="1" applyFont="1" applyFill="1" applyBorder="1" applyAlignment="1">
      <alignment horizontal="center"/>
    </xf>
    <xf numFmtId="0" fontId="0" fillId="2" borderId="112" xfId="0" applyFill="1" applyBorder="1"/>
    <xf numFmtId="165" fontId="16" fillId="2" borderId="9" xfId="0" applyNumberFormat="1" applyFont="1" applyFill="1" applyBorder="1"/>
    <xf numFmtId="49" fontId="35" fillId="2" borderId="100" xfId="0" applyNumberFormat="1" applyFont="1" applyFill="1" applyBorder="1" applyAlignment="1">
      <alignment horizontal="left"/>
    </xf>
    <xf numFmtId="9" fontId="40" fillId="3" borderId="29" xfId="0" applyNumberFormat="1" applyFont="1" applyFill="1" applyBorder="1" applyAlignment="1">
      <alignment horizontal="center"/>
    </xf>
    <xf numFmtId="165" fontId="39" fillId="2" borderId="103" xfId="0" applyNumberFormat="1" applyFont="1" applyFill="1" applyBorder="1" applyAlignment="1">
      <alignment horizontal="center"/>
    </xf>
    <xf numFmtId="165" fontId="39" fillId="2" borderId="88" xfId="0" applyNumberFormat="1" applyFont="1" applyFill="1" applyBorder="1" applyAlignment="1">
      <alignment horizontal="center"/>
    </xf>
    <xf numFmtId="2" fontId="40" fillId="3" borderId="29" xfId="0" applyNumberFormat="1" applyFont="1" applyFill="1" applyBorder="1" applyAlignment="1">
      <alignment horizontal="center"/>
    </xf>
    <xf numFmtId="49" fontId="42" fillId="2" borderId="9" xfId="0" applyNumberFormat="1" applyFont="1" applyFill="1" applyBorder="1" applyAlignment="1">
      <alignment wrapText="1"/>
    </xf>
    <xf numFmtId="49" fontId="43" fillId="2" borderId="11" xfId="0" applyNumberFormat="1" applyFont="1" applyFill="1" applyBorder="1"/>
    <xf numFmtId="1" fontId="40" fillId="3" borderId="102" xfId="0" applyNumberFormat="1" applyFont="1" applyFill="1" applyBorder="1" applyAlignment="1">
      <alignment horizontal="center"/>
    </xf>
    <xf numFmtId="1" fontId="0" fillId="2" borderId="112" xfId="0" applyNumberFormat="1" applyFill="1" applyBorder="1" applyAlignment="1">
      <alignment horizontal="center"/>
    </xf>
    <xf numFmtId="1" fontId="0" fillId="2" borderId="101" xfId="0" applyNumberFormat="1" applyFill="1" applyBorder="1" applyAlignment="1">
      <alignment horizontal="center"/>
    </xf>
    <xf numFmtId="49" fontId="44" fillId="2" borderId="9" xfId="0" applyNumberFormat="1" applyFont="1" applyFill="1" applyBorder="1"/>
    <xf numFmtId="175" fontId="0" fillId="2" borderId="9" xfId="0" applyNumberFormat="1" applyFill="1" applyBorder="1"/>
    <xf numFmtId="169" fontId="40" fillId="3" borderId="29" xfId="0" applyNumberFormat="1" applyFont="1" applyFill="1" applyBorder="1" applyAlignment="1">
      <alignment horizontal="center"/>
    </xf>
    <xf numFmtId="169" fontId="40" fillId="3" borderId="102" xfId="0" applyNumberFormat="1" applyFont="1" applyFill="1" applyBorder="1" applyAlignment="1">
      <alignment horizontal="center"/>
    </xf>
    <xf numFmtId="165" fontId="16" fillId="2" borderId="58" xfId="0" applyNumberFormat="1" applyFont="1" applyFill="1" applyBorder="1"/>
    <xf numFmtId="165" fontId="35" fillId="2" borderId="21" xfId="0" applyNumberFormat="1" applyFont="1" applyFill="1" applyBorder="1" applyAlignment="1">
      <alignment horizontal="left"/>
    </xf>
    <xf numFmtId="165" fontId="39" fillId="2" borderId="27" xfId="0" applyNumberFormat="1" applyFont="1" applyFill="1" applyBorder="1" applyAlignment="1">
      <alignment horizontal="center"/>
    </xf>
    <xf numFmtId="165" fontId="0" fillId="2" borderId="27" xfId="0" applyNumberFormat="1" applyFill="1" applyBorder="1"/>
    <xf numFmtId="165" fontId="0" fillId="2" borderId="22" xfId="0" applyNumberFormat="1" applyFill="1" applyBorder="1"/>
    <xf numFmtId="171" fontId="29" fillId="2" borderId="27" xfId="0" applyNumberFormat="1" applyFont="1" applyFill="1" applyBorder="1" applyAlignment="1">
      <alignment vertical="center"/>
    </xf>
    <xf numFmtId="171" fontId="29" fillId="2" borderId="28" xfId="0" applyNumberFormat="1" applyFont="1" applyFill="1" applyBorder="1" applyAlignment="1">
      <alignment vertical="center"/>
    </xf>
    <xf numFmtId="169" fontId="29" fillId="2" borderId="30" xfId="0" applyNumberFormat="1" applyFont="1" applyFill="1" applyBorder="1"/>
    <xf numFmtId="165" fontId="35" fillId="2" borderId="27" xfId="0" applyNumberFormat="1" applyFont="1" applyFill="1" applyBorder="1" applyAlignment="1">
      <alignment horizontal="left"/>
    </xf>
    <xf numFmtId="2" fontId="0" fillId="2" borderId="33" xfId="0" applyNumberFormat="1" applyFill="1" applyBorder="1" applyAlignment="1">
      <alignment horizontal="center"/>
    </xf>
    <xf numFmtId="49" fontId="39" fillId="2" borderId="21" xfId="0" applyNumberFormat="1" applyFont="1" applyFill="1" applyBorder="1" applyAlignment="1">
      <alignment horizontal="center"/>
    </xf>
    <xf numFmtId="0" fontId="0" fillId="2" borderId="100" xfId="0" applyFill="1" applyBorder="1"/>
    <xf numFmtId="173" fontId="0" fillId="2" borderId="101" xfId="0" applyNumberFormat="1" applyFill="1" applyBorder="1" applyAlignment="1">
      <alignment horizontal="center"/>
    </xf>
    <xf numFmtId="173" fontId="0" fillId="2" borderId="57" xfId="0" applyNumberFormat="1" applyFill="1" applyBorder="1" applyAlignment="1">
      <alignment horizontal="center"/>
    </xf>
    <xf numFmtId="165" fontId="35" fillId="2" borderId="9" xfId="0" applyNumberFormat="1" applyFont="1" applyFill="1" applyBorder="1" applyAlignment="1">
      <alignment horizontal="left"/>
    </xf>
    <xf numFmtId="9" fontId="40" fillId="3" borderId="102" xfId="0" applyNumberFormat="1" applyFont="1" applyFill="1" applyBorder="1" applyAlignment="1">
      <alignment horizontal="center"/>
    </xf>
    <xf numFmtId="49" fontId="0" fillId="2" borderId="9" xfId="0" applyNumberFormat="1" applyFill="1" applyBorder="1"/>
    <xf numFmtId="9" fontId="0" fillId="2" borderId="11" xfId="0" applyNumberFormat="1" applyFill="1" applyBorder="1"/>
    <xf numFmtId="169" fontId="0" fillId="2" borderId="24" xfId="0" applyNumberFormat="1" applyFill="1" applyBorder="1" applyAlignment="1">
      <alignment horizontal="center"/>
    </xf>
    <xf numFmtId="0" fontId="0" fillId="2" borderId="27" xfId="0" applyFill="1" applyBorder="1"/>
    <xf numFmtId="0" fontId="0" fillId="2" borderId="28" xfId="0" applyFill="1" applyBorder="1"/>
    <xf numFmtId="169" fontId="0" fillId="2" borderId="26" xfId="0" applyNumberFormat="1" applyFill="1" applyBorder="1"/>
    <xf numFmtId="169" fontId="0" fillId="2" borderId="27" xfId="0" applyNumberFormat="1" applyFill="1" applyBorder="1"/>
    <xf numFmtId="0" fontId="0" fillId="2" borderId="38" xfId="0" applyFill="1" applyBorder="1"/>
    <xf numFmtId="165" fontId="16" fillId="2" borderId="39" xfId="0" applyNumberFormat="1" applyFont="1" applyFill="1" applyBorder="1"/>
    <xf numFmtId="165" fontId="7" fillId="2" borderId="37" xfId="0" applyNumberFormat="1" applyFont="1" applyFill="1" applyBorder="1"/>
    <xf numFmtId="165" fontId="37" fillId="2" borderId="88" xfId="0" applyNumberFormat="1" applyFont="1" applyFill="1" applyBorder="1" applyAlignment="1">
      <alignment vertical="center"/>
    </xf>
    <xf numFmtId="165" fontId="38" fillId="2" borderId="88" xfId="0" applyNumberFormat="1" applyFont="1" applyFill="1" applyBorder="1" applyAlignment="1">
      <alignment vertical="center"/>
    </xf>
    <xf numFmtId="0" fontId="37" fillId="2" borderId="88" xfId="0" applyFont="1" applyFill="1" applyBorder="1" applyAlignment="1">
      <alignment horizontal="center" vertical="center"/>
    </xf>
    <xf numFmtId="165" fontId="37" fillId="2" borderId="21" xfId="0" applyNumberFormat="1" applyFont="1" applyFill="1" applyBorder="1" applyAlignment="1">
      <alignment vertical="center"/>
    </xf>
    <xf numFmtId="165" fontId="38" fillId="2" borderId="21" xfId="0" applyNumberFormat="1" applyFont="1" applyFill="1" applyBorder="1" applyAlignment="1">
      <alignment vertical="center"/>
    </xf>
    <xf numFmtId="0" fontId="37" fillId="2" borderId="44" xfId="0" applyFont="1" applyFill="1" applyBorder="1" applyAlignment="1">
      <alignment horizontal="center" vertical="center"/>
    </xf>
    <xf numFmtId="165" fontId="7" fillId="2" borderId="5" xfId="0" applyNumberFormat="1" applyFont="1" applyFill="1" applyBorder="1"/>
    <xf numFmtId="49" fontId="23" fillId="2" borderId="84" xfId="0" applyNumberFormat="1" applyFont="1" applyFill="1" applyBorder="1"/>
    <xf numFmtId="165" fontId="0" fillId="2" borderId="88" xfId="0" applyNumberFormat="1" applyFill="1" applyBorder="1" applyAlignment="1">
      <alignment horizontal="left"/>
    </xf>
    <xf numFmtId="165" fontId="0" fillId="2" borderId="113" xfId="0" applyNumberFormat="1" applyFill="1" applyBorder="1"/>
    <xf numFmtId="2" fontId="0" fillId="2" borderId="114" xfId="0" applyNumberFormat="1" applyFill="1" applyBorder="1" applyAlignment="1">
      <alignment horizontal="center"/>
    </xf>
    <xf numFmtId="2" fontId="0" fillId="2" borderId="89" xfId="0" applyNumberFormat="1" applyFill="1" applyBorder="1" applyAlignment="1">
      <alignment horizontal="center"/>
    </xf>
    <xf numFmtId="165" fontId="39" fillId="2" borderId="21" xfId="0" applyNumberFormat="1" applyFont="1" applyFill="1" applyBorder="1" applyAlignment="1">
      <alignment horizontal="center"/>
    </xf>
    <xf numFmtId="165" fontId="0" fillId="2" borderId="115" xfId="0" applyNumberFormat="1" applyFill="1" applyBorder="1"/>
    <xf numFmtId="2" fontId="0" fillId="2" borderId="116" xfId="0" applyNumberFormat="1" applyFill="1" applyBorder="1" applyAlignment="1">
      <alignment horizontal="center"/>
    </xf>
    <xf numFmtId="169" fontId="0" fillId="2" borderId="5" xfId="0" applyNumberFormat="1" applyFill="1" applyBorder="1"/>
    <xf numFmtId="169" fontId="40" fillId="3" borderId="29" xfId="0" applyNumberFormat="1" applyFont="1" applyFill="1" applyBorder="1" applyAlignment="1">
      <alignment horizontal="left"/>
    </xf>
    <xf numFmtId="169" fontId="39" fillId="2" borderId="103" xfId="0" applyNumberFormat="1" applyFont="1" applyFill="1" applyBorder="1" applyAlignment="1">
      <alignment horizontal="center"/>
    </xf>
    <xf numFmtId="169" fontId="39" fillId="2" borderId="10" xfId="0" applyNumberFormat="1" applyFont="1" applyFill="1" applyBorder="1" applyAlignment="1">
      <alignment horizontal="center"/>
    </xf>
    <xf numFmtId="169" fontId="0" fillId="2" borderId="115" xfId="0" applyNumberFormat="1" applyFill="1" applyBorder="1"/>
    <xf numFmtId="169" fontId="0" fillId="2" borderId="116" xfId="0" applyNumberFormat="1" applyFill="1" applyBorder="1" applyAlignment="1">
      <alignment horizontal="center"/>
    </xf>
    <xf numFmtId="49" fontId="45" fillId="2" borderId="9" xfId="0" applyNumberFormat="1" applyFont="1" applyFill="1" applyBorder="1"/>
    <xf numFmtId="1" fontId="40" fillId="3" borderId="29" xfId="0" applyNumberFormat="1" applyFont="1" applyFill="1" applyBorder="1" applyAlignment="1">
      <alignment horizontal="center"/>
    </xf>
    <xf numFmtId="170" fontId="40" fillId="3" borderId="29" xfId="0" applyNumberFormat="1" applyFont="1" applyFill="1" applyBorder="1" applyAlignment="1">
      <alignment horizontal="center"/>
    </xf>
    <xf numFmtId="49" fontId="39" fillId="2" borderId="10" xfId="0" applyNumberFormat="1" applyFont="1" applyFill="1" applyBorder="1" applyAlignment="1">
      <alignment horizontal="right"/>
    </xf>
    <xf numFmtId="1" fontId="0" fillId="2" borderId="116" xfId="0" applyNumberFormat="1" applyFill="1" applyBorder="1" applyAlignment="1">
      <alignment horizontal="center"/>
    </xf>
    <xf numFmtId="1" fontId="0" fillId="2" borderId="57" xfId="0" applyNumberFormat="1" applyFill="1" applyBorder="1" applyAlignment="1">
      <alignment horizontal="center"/>
    </xf>
    <xf numFmtId="1" fontId="0" fillId="2" borderId="104" xfId="0" applyNumberFormat="1" applyFill="1" applyBorder="1" applyAlignment="1">
      <alignment horizontal="center"/>
    </xf>
    <xf numFmtId="165" fontId="0" fillId="2" borderId="73" xfId="0" applyNumberFormat="1" applyFill="1" applyBorder="1"/>
    <xf numFmtId="165" fontId="39" fillId="2" borderId="74" xfId="0" applyNumberFormat="1" applyFont="1" applyFill="1" applyBorder="1" applyAlignment="1">
      <alignment horizontal="center"/>
    </xf>
    <xf numFmtId="165" fontId="0" fillId="2" borderId="117" xfId="0" applyNumberFormat="1" applyFill="1" applyBorder="1"/>
    <xf numFmtId="2" fontId="0" fillId="2" borderId="118" xfId="0" applyNumberFormat="1" applyFill="1" applyBorder="1" applyAlignment="1">
      <alignment horizontal="center"/>
    </xf>
    <xf numFmtId="2" fontId="0" fillId="2" borderId="76" xfId="0" applyNumberFormat="1" applyFill="1" applyBorder="1" applyAlignment="1">
      <alignment horizontal="center"/>
    </xf>
    <xf numFmtId="49" fontId="0" fillId="2" borderId="119" xfId="0" applyNumberFormat="1" applyFill="1" applyBorder="1"/>
    <xf numFmtId="165" fontId="0" fillId="2" borderId="120" xfId="0" applyNumberFormat="1" applyFill="1" applyBorder="1"/>
    <xf numFmtId="165" fontId="0" fillId="2" borderId="121" xfId="0" applyNumberFormat="1" applyFill="1" applyBorder="1"/>
    <xf numFmtId="1" fontId="0" fillId="2" borderId="122" xfId="0" applyNumberFormat="1" applyFill="1" applyBorder="1" applyAlignment="1">
      <alignment horizontal="center"/>
    </xf>
    <xf numFmtId="1" fontId="0" fillId="2" borderId="123" xfId="0" applyNumberFormat="1" applyFill="1" applyBorder="1" applyAlignment="1">
      <alignment horizontal="center"/>
    </xf>
    <xf numFmtId="49" fontId="16" fillId="2" borderId="119" xfId="0" applyNumberFormat="1" applyFont="1" applyFill="1" applyBorder="1"/>
    <xf numFmtId="169" fontId="0" fillId="2" borderId="122" xfId="0" applyNumberFormat="1" applyFill="1" applyBorder="1" applyAlignment="1">
      <alignment horizontal="center"/>
    </xf>
    <xf numFmtId="169" fontId="0" fillId="2" borderId="123" xfId="0" applyNumberFormat="1" applyFill="1" applyBorder="1" applyAlignment="1">
      <alignment horizontal="center"/>
    </xf>
    <xf numFmtId="165" fontId="0" fillId="2" borderId="124" xfId="0" applyNumberFormat="1" applyFill="1" applyBorder="1"/>
    <xf numFmtId="170" fontId="31" fillId="2" borderId="125" xfId="0" applyNumberFormat="1" applyFont="1" applyFill="1" applyBorder="1" applyAlignment="1">
      <alignment horizontal="center"/>
    </xf>
    <xf numFmtId="170" fontId="31" fillId="2" borderId="69" xfId="0" applyNumberFormat="1" applyFont="1" applyFill="1" applyBorder="1" applyAlignment="1">
      <alignment horizontal="center"/>
    </xf>
    <xf numFmtId="2" fontId="28" fillId="2" borderId="116" xfId="0" applyNumberFormat="1" applyFont="1" applyFill="1" applyBorder="1" applyAlignment="1">
      <alignment horizontal="center"/>
    </xf>
    <xf numFmtId="2" fontId="28" fillId="2" borderId="57" xfId="0" applyNumberFormat="1" applyFont="1" applyFill="1" applyBorder="1" applyAlignment="1">
      <alignment horizontal="center"/>
    </xf>
    <xf numFmtId="176" fontId="0" fillId="2" borderId="103" xfId="0" applyNumberFormat="1" applyFill="1" applyBorder="1"/>
    <xf numFmtId="176" fontId="0" fillId="2" borderId="10" xfId="0" applyNumberFormat="1" applyFill="1" applyBorder="1"/>
    <xf numFmtId="176" fontId="0" fillId="2" borderId="115" xfId="0" applyNumberFormat="1" applyFill="1" applyBorder="1"/>
    <xf numFmtId="176" fontId="0" fillId="2" borderId="10" xfId="0" applyNumberFormat="1" applyFill="1" applyBorder="1" applyAlignment="1">
      <alignment horizontal="center"/>
    </xf>
    <xf numFmtId="176" fontId="0" fillId="2" borderId="11" xfId="0" applyNumberFormat="1" applyFill="1" applyBorder="1" applyAlignment="1">
      <alignment horizontal="center"/>
    </xf>
    <xf numFmtId="176" fontId="28" fillId="2" borderId="9" xfId="0" applyNumberFormat="1" applyFont="1" applyFill="1" applyBorder="1" applyAlignment="1">
      <alignment horizontal="center"/>
    </xf>
    <xf numFmtId="165" fontId="0" fillId="2" borderId="116" xfId="0" applyNumberFormat="1" applyFill="1" applyBorder="1" applyAlignment="1">
      <alignment horizontal="center"/>
    </xf>
    <xf numFmtId="165" fontId="0" fillId="2" borderId="57" xfId="0" applyNumberFormat="1" applyFill="1" applyBorder="1" applyAlignment="1">
      <alignment horizontal="center"/>
    </xf>
    <xf numFmtId="49" fontId="46" fillId="2" borderId="10" xfId="0" applyNumberFormat="1" applyFont="1" applyFill="1" applyBorder="1"/>
    <xf numFmtId="165" fontId="46" fillId="2" borderId="21" xfId="0" applyNumberFormat="1" applyFont="1" applyFill="1" applyBorder="1" applyAlignment="1">
      <alignment horizontal="center"/>
    </xf>
    <xf numFmtId="165" fontId="46" fillId="2" borderId="10" xfId="0" applyNumberFormat="1" applyFont="1" applyFill="1" applyBorder="1"/>
    <xf numFmtId="165" fontId="46" fillId="2" borderId="115" xfId="0" applyNumberFormat="1" applyFont="1" applyFill="1" applyBorder="1"/>
    <xf numFmtId="165" fontId="46" fillId="2" borderId="116" xfId="0" applyNumberFormat="1" applyFont="1" applyFill="1" applyBorder="1"/>
    <xf numFmtId="165" fontId="46" fillId="2" borderId="57" xfId="0" applyNumberFormat="1" applyFont="1" applyFill="1" applyBorder="1"/>
    <xf numFmtId="165" fontId="0" fillId="2" borderId="57" xfId="0" applyNumberFormat="1" applyFill="1" applyBorder="1"/>
    <xf numFmtId="171" fontId="28" fillId="2" borderId="9" xfId="0" applyNumberFormat="1" applyFont="1" applyFill="1" applyBorder="1" applyAlignment="1">
      <alignment horizontal="center"/>
    </xf>
    <xf numFmtId="171" fontId="0" fillId="2" borderId="10" xfId="0" applyNumberFormat="1" applyFill="1" applyBorder="1" applyAlignment="1">
      <alignment horizontal="center"/>
    </xf>
    <xf numFmtId="171" fontId="0" fillId="2" borderId="11" xfId="0" applyNumberFormat="1" applyFill="1" applyBorder="1" applyAlignment="1">
      <alignment horizontal="center"/>
    </xf>
    <xf numFmtId="171" fontId="0" fillId="2" borderId="116" xfId="0" applyNumberFormat="1" applyFill="1" applyBorder="1" applyAlignment="1">
      <alignment horizontal="center"/>
    </xf>
    <xf numFmtId="171" fontId="0" fillId="2" borderId="57" xfId="0" applyNumberFormat="1" applyFill="1" applyBorder="1" applyAlignment="1">
      <alignment horizontal="center"/>
    </xf>
    <xf numFmtId="3" fontId="0" fillId="2" borderId="116" xfId="0" applyNumberFormat="1" applyFill="1" applyBorder="1" applyAlignment="1">
      <alignment horizontal="center"/>
    </xf>
    <xf numFmtId="165" fontId="0" fillId="2" borderId="116" xfId="0" applyNumberFormat="1" applyFill="1" applyBorder="1"/>
    <xf numFmtId="9" fontId="0" fillId="2" borderId="57" xfId="0" applyNumberFormat="1" applyFill="1" applyBorder="1" applyAlignment="1">
      <alignment horizontal="center"/>
    </xf>
    <xf numFmtId="165" fontId="28" fillId="2" borderId="9" xfId="0" applyNumberFormat="1" applyFon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1" xfId="0" applyNumberFormat="1" applyFill="1" applyBorder="1" applyAlignment="1">
      <alignment horizontal="center"/>
    </xf>
    <xf numFmtId="176" fontId="0" fillId="2" borderId="116" xfId="0" applyNumberFormat="1" applyFill="1" applyBorder="1"/>
    <xf numFmtId="176" fontId="0" fillId="2" borderId="57" xfId="0" applyNumberFormat="1" applyFill="1" applyBorder="1"/>
    <xf numFmtId="165" fontId="0" fillId="2" borderId="126" xfId="0" applyNumberFormat="1" applyFill="1" applyBorder="1" applyAlignment="1">
      <alignment horizontal="center"/>
    </xf>
    <xf numFmtId="165" fontId="0" fillId="2" borderId="60" xfId="0" applyNumberFormat="1" applyFill="1" applyBorder="1" applyAlignment="1">
      <alignment horizontal="center"/>
    </xf>
    <xf numFmtId="177" fontId="40" fillId="3" borderId="114" xfId="0" applyNumberFormat="1" applyFont="1" applyFill="1" applyBorder="1" applyAlignment="1">
      <alignment horizontal="center"/>
    </xf>
    <xf numFmtId="177" fontId="40" fillId="3" borderId="89" xfId="0" applyNumberFormat="1" applyFont="1" applyFill="1" applyBorder="1" applyAlignment="1">
      <alignment horizontal="center"/>
    </xf>
    <xf numFmtId="0" fontId="45" fillId="2" borderId="9" xfId="0" applyFont="1" applyFill="1" applyBorder="1"/>
    <xf numFmtId="177" fontId="0" fillId="2" borderId="122" xfId="0" applyNumberFormat="1" applyFill="1" applyBorder="1" applyAlignment="1">
      <alignment horizontal="center"/>
    </xf>
    <xf numFmtId="177" fontId="0" fillId="2" borderId="123" xfId="0" applyNumberFormat="1" applyFill="1" applyBorder="1" applyAlignment="1">
      <alignment horizontal="center"/>
    </xf>
    <xf numFmtId="165" fontId="24" fillId="2" borderId="9" xfId="0" applyNumberFormat="1" applyFont="1" applyFill="1" applyBorder="1"/>
    <xf numFmtId="169" fontId="46" fillId="2" borderId="116" xfId="0" applyNumberFormat="1" applyFont="1" applyFill="1" applyBorder="1"/>
    <xf numFmtId="169" fontId="46" fillId="2" borderId="57" xfId="0" applyNumberFormat="1" applyFont="1" applyFill="1" applyBorder="1"/>
    <xf numFmtId="165" fontId="0" fillId="2" borderId="127" xfId="0" applyNumberFormat="1" applyFill="1" applyBorder="1" applyAlignment="1">
      <alignment horizontal="center"/>
    </xf>
    <xf numFmtId="165" fontId="24" fillId="2" borderId="73" xfId="0" applyNumberFormat="1" applyFont="1" applyFill="1" applyBorder="1"/>
    <xf numFmtId="169" fontId="0" fillId="2" borderId="21" xfId="0" applyNumberFormat="1" applyFill="1" applyBorder="1"/>
    <xf numFmtId="165" fontId="0" fillId="2" borderId="128" xfId="0" applyNumberFormat="1" applyFill="1" applyBorder="1" applyAlignment="1">
      <alignment horizontal="center"/>
    </xf>
    <xf numFmtId="177" fontId="0" fillId="2" borderId="129" xfId="0" applyNumberFormat="1" applyFill="1" applyBorder="1" applyAlignment="1">
      <alignment horizontal="center"/>
    </xf>
    <xf numFmtId="0" fontId="40" fillId="3" borderId="102" xfId="0" applyNumberFormat="1" applyFont="1" applyFill="1" applyBorder="1" applyAlignment="1">
      <alignment horizontal="right"/>
    </xf>
    <xf numFmtId="165" fontId="0" fillId="2" borderId="130" xfId="0" applyNumberFormat="1" applyFill="1" applyBorder="1" applyAlignment="1">
      <alignment horizontal="center"/>
    </xf>
    <xf numFmtId="169" fontId="0" fillId="2" borderId="118" xfId="0" applyNumberFormat="1" applyFill="1" applyBorder="1" applyAlignment="1">
      <alignment horizontal="center"/>
    </xf>
    <xf numFmtId="169" fontId="0" fillId="2" borderId="76" xfId="0" applyNumberFormat="1" applyFill="1" applyBorder="1" applyAlignment="1">
      <alignment horizontal="center"/>
    </xf>
    <xf numFmtId="1" fontId="0" fillId="2" borderId="129" xfId="0" applyNumberFormat="1" applyFill="1" applyBorder="1" applyAlignment="1">
      <alignment horizontal="center"/>
    </xf>
    <xf numFmtId="169" fontId="0" fillId="2" borderId="129" xfId="0" applyNumberFormat="1" applyFill="1" applyBorder="1" applyAlignment="1">
      <alignment horizontal="center"/>
    </xf>
    <xf numFmtId="165" fontId="31" fillId="2" borderId="73" xfId="0" applyNumberFormat="1" applyFont="1" applyFill="1" applyBorder="1" applyAlignment="1">
      <alignment horizontal="left"/>
    </xf>
    <xf numFmtId="170" fontId="31" fillId="2" borderId="118" xfId="0" applyNumberFormat="1" applyFont="1" applyFill="1" applyBorder="1" applyAlignment="1">
      <alignment horizontal="center"/>
    </xf>
    <xf numFmtId="170" fontId="31" fillId="2" borderId="76" xfId="0" applyNumberFormat="1" applyFont="1" applyFill="1" applyBorder="1" applyAlignment="1">
      <alignment horizontal="center"/>
    </xf>
    <xf numFmtId="165" fontId="47" fillId="2" borderId="5" xfId="0" applyNumberFormat="1" applyFont="1" applyFill="1" applyBorder="1"/>
    <xf numFmtId="49" fontId="47" fillId="2" borderId="119" xfId="0" applyNumberFormat="1" applyFont="1" applyFill="1" applyBorder="1"/>
    <xf numFmtId="165" fontId="47" fillId="2" borderId="120" xfId="0" applyNumberFormat="1" applyFont="1" applyFill="1" applyBorder="1"/>
    <xf numFmtId="165" fontId="47" fillId="2" borderId="121" xfId="0" applyNumberFormat="1" applyFont="1" applyFill="1" applyBorder="1"/>
    <xf numFmtId="177" fontId="47" fillId="2" borderId="122" xfId="0" applyNumberFormat="1" applyFont="1" applyFill="1" applyBorder="1" applyAlignment="1">
      <alignment horizontal="center"/>
    </xf>
    <xf numFmtId="177" fontId="47" fillId="2" borderId="123" xfId="0" applyNumberFormat="1" applyFont="1" applyFill="1" applyBorder="1" applyAlignment="1">
      <alignment horizontal="center"/>
    </xf>
    <xf numFmtId="0" fontId="48" fillId="2" borderId="9" xfId="0" applyFont="1" applyFill="1" applyBorder="1"/>
    <xf numFmtId="0" fontId="47" fillId="2" borderId="10" xfId="0" applyFont="1" applyFill="1" applyBorder="1"/>
    <xf numFmtId="0" fontId="47" fillId="2" borderId="11" xfId="0" applyFont="1" applyFill="1" applyBorder="1"/>
    <xf numFmtId="165" fontId="31" fillId="2" borderId="9" xfId="0" applyNumberFormat="1" applyFont="1" applyFill="1" applyBorder="1" applyAlignment="1">
      <alignment horizontal="left"/>
    </xf>
    <xf numFmtId="170" fontId="31" fillId="2" borderId="116" xfId="0" applyNumberFormat="1" applyFont="1" applyFill="1" applyBorder="1" applyAlignment="1">
      <alignment horizontal="center"/>
    </xf>
    <xf numFmtId="170" fontId="31" fillId="2" borderId="57" xfId="0" applyNumberFormat="1" applyFont="1" applyFill="1" applyBorder="1" applyAlignment="1">
      <alignment horizontal="center"/>
    </xf>
    <xf numFmtId="49" fontId="39" fillId="2" borderId="115" xfId="0" applyNumberFormat="1" applyFont="1" applyFill="1" applyBorder="1" applyAlignment="1">
      <alignment horizontal="right"/>
    </xf>
    <xf numFmtId="165" fontId="24" fillId="2" borderId="58" xfId="0" applyNumberFormat="1" applyFont="1" applyFill="1" applyBorder="1"/>
    <xf numFmtId="165" fontId="0" fillId="2" borderId="131" xfId="0" applyNumberFormat="1" applyFill="1" applyBorder="1"/>
    <xf numFmtId="169" fontId="0" fillId="2" borderId="126" xfId="0" applyNumberFormat="1" applyFill="1" applyBorder="1" applyAlignment="1">
      <alignment horizontal="center"/>
    </xf>
    <xf numFmtId="171" fontId="29" fillId="2" borderId="62" xfId="0" applyNumberFormat="1" applyFont="1" applyFill="1" applyBorder="1" applyAlignment="1">
      <alignment vertical="center"/>
    </xf>
    <xf numFmtId="171" fontId="29" fillId="2" borderId="132" xfId="0" applyNumberFormat="1" applyFont="1" applyFill="1" applyBorder="1" applyAlignment="1">
      <alignment vertical="center"/>
    </xf>
    <xf numFmtId="169" fontId="29" fillId="2" borderId="133" xfId="0" applyNumberFormat="1" applyFont="1" applyFill="1" applyBorder="1"/>
    <xf numFmtId="165" fontId="0" fillId="2" borderId="78" xfId="0" applyNumberFormat="1" applyFill="1" applyBorder="1"/>
    <xf numFmtId="165" fontId="0" fillId="2" borderId="79" xfId="0" applyNumberFormat="1" applyFill="1" applyBorder="1"/>
    <xf numFmtId="170" fontId="31" fillId="2" borderId="134" xfId="0" applyNumberFormat="1" applyFont="1" applyFill="1" applyBorder="1" applyAlignment="1">
      <alignment horizontal="center"/>
    </xf>
    <xf numFmtId="165" fontId="24" fillId="2" borderId="135" xfId="0" applyNumberFormat="1" applyFont="1" applyFill="1" applyBorder="1"/>
    <xf numFmtId="165" fontId="0" fillId="2" borderId="135" xfId="0" applyNumberFormat="1" applyFill="1" applyBorder="1" applyAlignment="1">
      <alignment horizontal="left"/>
    </xf>
    <xf numFmtId="165" fontId="39" fillId="2" borderId="135" xfId="0" applyNumberFormat="1" applyFont="1" applyFill="1" applyBorder="1" applyAlignment="1">
      <alignment horizontal="center"/>
    </xf>
    <xf numFmtId="165" fontId="0" fillId="2" borderId="135" xfId="0" applyNumberFormat="1" applyFill="1" applyBorder="1"/>
    <xf numFmtId="2" fontId="0" fillId="2" borderId="136" xfId="0" applyNumberFormat="1" applyFill="1" applyBorder="1" applyAlignment="1">
      <alignment horizontal="center"/>
    </xf>
    <xf numFmtId="49" fontId="39" fillId="2" borderId="137" xfId="0" applyNumberFormat="1" applyFont="1" applyFill="1" applyBorder="1" applyAlignment="1">
      <alignment horizontal="right"/>
    </xf>
    <xf numFmtId="165" fontId="39" fillId="2" borderId="137" xfId="0" applyNumberFormat="1" applyFont="1" applyFill="1" applyBorder="1" applyAlignment="1">
      <alignment horizontal="center"/>
    </xf>
    <xf numFmtId="165" fontId="0" fillId="2" borderId="138" xfId="0" applyNumberFormat="1" applyFill="1" applyBorder="1"/>
    <xf numFmtId="169" fontId="0" fillId="2" borderId="139" xfId="0" applyNumberFormat="1" applyFill="1" applyBorder="1" applyAlignment="1">
      <alignment horizontal="center"/>
    </xf>
    <xf numFmtId="169" fontId="0" fillId="2" borderId="81" xfId="0" applyNumberFormat="1" applyFill="1" applyBorder="1" applyAlignment="1">
      <alignment horizontal="center"/>
    </xf>
    <xf numFmtId="49" fontId="39" fillId="2" borderId="140" xfId="0" applyNumberFormat="1" applyFont="1" applyFill="1" applyBorder="1" applyAlignment="1">
      <alignment horizontal="right"/>
    </xf>
    <xf numFmtId="165" fontId="39" fillId="2" borderId="140" xfId="0" applyNumberFormat="1" applyFont="1" applyFill="1" applyBorder="1" applyAlignment="1">
      <alignment horizontal="center"/>
    </xf>
    <xf numFmtId="165" fontId="0" fillId="2" borderId="141" xfId="0" applyNumberFormat="1" applyFill="1" applyBorder="1"/>
    <xf numFmtId="169" fontId="0" fillId="2" borderId="142" xfId="0" applyNumberFormat="1" applyFill="1" applyBorder="1" applyAlignment="1">
      <alignment horizontal="center"/>
    </xf>
    <xf numFmtId="169" fontId="0" fillId="2" borderId="82" xfId="0" applyNumberFormat="1" applyFill="1" applyBorder="1" applyAlignment="1">
      <alignment horizontal="center"/>
    </xf>
    <xf numFmtId="169" fontId="40" fillId="3" borderId="102" xfId="0" applyNumberFormat="1" applyFont="1" applyFill="1" applyBorder="1" applyAlignment="1">
      <alignment horizontal="left"/>
    </xf>
    <xf numFmtId="165" fontId="39" fillId="2" borderId="10" xfId="0" applyNumberFormat="1" applyFont="1" applyFill="1" applyBorder="1" applyAlignment="1">
      <alignment horizontal="right"/>
    </xf>
    <xf numFmtId="10" fontId="40" fillId="3" borderId="102" xfId="0" applyNumberFormat="1" applyFont="1" applyFill="1" applyBorder="1" applyAlignment="1">
      <alignment horizontal="center"/>
    </xf>
    <xf numFmtId="165" fontId="39" fillId="2" borderId="115" xfId="0" applyNumberFormat="1" applyFont="1" applyFill="1" applyBorder="1" applyAlignment="1">
      <alignment horizontal="right"/>
    </xf>
    <xf numFmtId="2" fontId="0" fillId="2" borderId="126" xfId="0" applyNumberFormat="1" applyFill="1" applyBorder="1" applyAlignment="1">
      <alignment horizontal="center"/>
    </xf>
    <xf numFmtId="169" fontId="29" fillId="2" borderId="143" xfId="0" applyNumberFormat="1" applyFont="1" applyFill="1" applyBorder="1"/>
    <xf numFmtId="169" fontId="29" fillId="2" borderId="62" xfId="0" applyNumberFormat="1" applyFont="1" applyFill="1" applyBorder="1"/>
    <xf numFmtId="169" fontId="29" fillId="2" borderId="72" xfId="0" applyNumberFormat="1" applyFont="1" applyFill="1" applyBorder="1"/>
    <xf numFmtId="165" fontId="0" fillId="2" borderId="144" xfId="0" applyNumberFormat="1" applyFill="1" applyBorder="1"/>
    <xf numFmtId="169" fontId="0" fillId="2" borderId="145" xfId="0" applyNumberFormat="1" applyFill="1" applyBorder="1" applyAlignment="1">
      <alignment horizontal="center"/>
    </xf>
    <xf numFmtId="165" fontId="0" fillId="2" borderId="146" xfId="0" applyNumberFormat="1" applyFill="1" applyBorder="1"/>
    <xf numFmtId="165" fontId="0" fillId="2" borderId="147" xfId="0" applyNumberFormat="1" applyFill="1" applyBorder="1"/>
    <xf numFmtId="165" fontId="24" fillId="2" borderId="10" xfId="0" applyNumberFormat="1" applyFont="1" applyFill="1" applyBorder="1"/>
    <xf numFmtId="2" fontId="0" fillId="2" borderId="10" xfId="0" applyNumberFormat="1" applyFill="1" applyBorder="1" applyAlignment="1">
      <alignment horizontal="center"/>
    </xf>
    <xf numFmtId="165" fontId="0" fillId="2" borderId="39" xfId="0" applyNumberFormat="1" applyFill="1" applyBorder="1"/>
    <xf numFmtId="165" fontId="7" fillId="2" borderId="95" xfId="0" applyNumberFormat="1" applyFont="1" applyFill="1" applyBorder="1"/>
    <xf numFmtId="165" fontId="0" fillId="2" borderId="88" xfId="0" applyNumberFormat="1" applyFill="1" applyBorder="1"/>
    <xf numFmtId="2" fontId="0" fillId="2" borderId="90" xfId="0" applyNumberFormat="1" applyFill="1" applyBorder="1" applyAlignment="1">
      <alignment horizontal="center"/>
    </xf>
    <xf numFmtId="49" fontId="39" fillId="2" borderId="100" xfId="0" applyNumberFormat="1" applyFont="1" applyFill="1" applyBorder="1" applyAlignment="1">
      <alignment horizontal="center"/>
    </xf>
    <xf numFmtId="168" fontId="0" fillId="2" borderId="12" xfId="0" applyNumberFormat="1" applyFill="1" applyBorder="1" applyAlignment="1">
      <alignment horizontal="center"/>
    </xf>
    <xf numFmtId="168" fontId="0" fillId="2" borderId="57" xfId="0" applyNumberFormat="1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2" fontId="0" fillId="2" borderId="75" xfId="0" applyNumberFormat="1" applyFill="1" applyBorder="1" applyAlignment="1">
      <alignment horizontal="center"/>
    </xf>
    <xf numFmtId="169" fontId="0" fillId="2" borderId="68" xfId="0" applyNumberFormat="1" applyFill="1" applyBorder="1" applyAlignment="1">
      <alignment horizontal="center"/>
    </xf>
    <xf numFmtId="169" fontId="0" fillId="2" borderId="12" xfId="0" applyNumberFormat="1" applyFill="1" applyBorder="1" applyAlignment="1">
      <alignment horizontal="center"/>
    </xf>
    <xf numFmtId="168" fontId="0" fillId="2" borderId="48" xfId="0" applyNumberFormat="1" applyFill="1" applyBorder="1" applyAlignment="1">
      <alignment horizontal="center"/>
    </xf>
    <xf numFmtId="168" fontId="0" fillId="2" borderId="70" xfId="0" applyNumberFormat="1" applyFill="1" applyBorder="1" applyAlignment="1">
      <alignment horizontal="center"/>
    </xf>
    <xf numFmtId="165" fontId="0" fillId="2" borderId="95" xfId="0" applyNumberFormat="1" applyFill="1" applyBorder="1"/>
    <xf numFmtId="168" fontId="0" fillId="2" borderId="90" xfId="0" applyNumberFormat="1" applyFill="1" applyBorder="1" applyAlignment="1">
      <alignment horizontal="center"/>
    </xf>
    <xf numFmtId="168" fontId="0" fillId="2" borderId="89" xfId="0" applyNumberFormat="1" applyFill="1" applyBorder="1" applyAlignment="1">
      <alignment horizontal="center"/>
    </xf>
    <xf numFmtId="168" fontId="0" fillId="2" borderId="59" xfId="0" applyNumberFormat="1" applyFill="1" applyBorder="1" applyAlignment="1">
      <alignment horizontal="center"/>
    </xf>
    <xf numFmtId="168" fontId="0" fillId="2" borderId="60" xfId="0" applyNumberFormat="1" applyFill="1" applyBorder="1" applyAlignment="1">
      <alignment horizontal="center"/>
    </xf>
    <xf numFmtId="9" fontId="40" fillId="3" borderId="102" xfId="0" applyNumberFormat="1" applyFont="1" applyFill="1" applyBorder="1" applyAlignment="1">
      <alignment horizontal="left"/>
    </xf>
    <xf numFmtId="165" fontId="16" fillId="2" borderId="73" xfId="0" applyNumberFormat="1" applyFont="1" applyFill="1" applyBorder="1"/>
    <xf numFmtId="165" fontId="39" fillId="2" borderId="74" xfId="0" applyNumberFormat="1" applyFont="1" applyFill="1" applyBorder="1" applyAlignment="1">
      <alignment horizontal="right"/>
    </xf>
    <xf numFmtId="169" fontId="0" fillId="2" borderId="75" xfId="0" applyNumberFormat="1" applyFill="1" applyBorder="1" applyAlignment="1">
      <alignment horizontal="center"/>
    </xf>
    <xf numFmtId="49" fontId="16" fillId="2" borderId="10" xfId="0" applyNumberFormat="1" applyFont="1" applyFill="1" applyBorder="1"/>
    <xf numFmtId="2" fontId="0" fillId="2" borderId="59" xfId="0" applyNumberFormat="1" applyFill="1" applyBorder="1" applyAlignment="1">
      <alignment horizontal="center"/>
    </xf>
    <xf numFmtId="165" fontId="24" fillId="2" borderId="74" xfId="0" applyNumberFormat="1" applyFont="1" applyFill="1" applyBorder="1"/>
    <xf numFmtId="165" fontId="24" fillId="2" borderId="21" xfId="0" applyNumberFormat="1" applyFont="1" applyFill="1" applyBorder="1"/>
    <xf numFmtId="2" fontId="0" fillId="2" borderId="48" xfId="0" applyNumberFormat="1" applyFill="1" applyBorder="1" applyAlignment="1">
      <alignment horizontal="center"/>
    </xf>
    <xf numFmtId="2" fontId="0" fillId="2" borderId="70" xfId="0" applyNumberFormat="1" applyFill="1" applyBorder="1" applyAlignment="1">
      <alignment horizontal="center"/>
    </xf>
    <xf numFmtId="165" fontId="24" fillId="2" borderId="88" xfId="0" applyNumberFormat="1" applyFont="1" applyFill="1" applyBorder="1"/>
    <xf numFmtId="2" fontId="0" fillId="2" borderId="87" xfId="0" applyNumberFormat="1" applyFill="1" applyBorder="1" applyAlignment="1">
      <alignment horizontal="center"/>
    </xf>
    <xf numFmtId="2" fontId="0" fillId="2" borderId="86" xfId="0" applyNumberFormat="1" applyFill="1" applyBorder="1" applyAlignment="1">
      <alignment horizontal="center"/>
    </xf>
    <xf numFmtId="49" fontId="16" fillId="2" borderId="67" xfId="0" applyNumberFormat="1" applyFont="1" applyFill="1" applyBorder="1"/>
    <xf numFmtId="175" fontId="49" fillId="2" borderId="9" xfId="0" applyNumberFormat="1" applyFont="1" applyFill="1" applyBorder="1"/>
    <xf numFmtId="0" fontId="49" fillId="2" borderId="9" xfId="0" applyFont="1" applyFill="1" applyBorder="1"/>
    <xf numFmtId="0" fontId="50" fillId="2" borderId="9" xfId="0" applyFont="1" applyFill="1" applyBorder="1"/>
    <xf numFmtId="49" fontId="49" fillId="2" borderId="9" xfId="0" applyNumberFormat="1" applyFont="1" applyFill="1" applyBorder="1"/>
    <xf numFmtId="0" fontId="40" fillId="3" borderId="102" xfId="0" applyNumberFormat="1" applyFont="1" applyFill="1" applyBorder="1" applyAlignment="1">
      <alignment horizontal="center"/>
    </xf>
    <xf numFmtId="165" fontId="0" fillId="2" borderId="10" xfId="0" applyNumberFormat="1" applyFill="1" applyBorder="1" applyAlignment="1">
      <alignment horizontal="right"/>
    </xf>
    <xf numFmtId="164" fontId="40" fillId="3" borderId="102" xfId="0" applyNumberFormat="1" applyFont="1" applyFill="1" applyBorder="1" applyAlignment="1">
      <alignment horizontal="center"/>
    </xf>
    <xf numFmtId="169" fontId="0" fillId="2" borderId="116" xfId="0" applyNumberFormat="1" applyFill="1" applyBorder="1"/>
    <xf numFmtId="169" fontId="50" fillId="2" borderId="116" xfId="0" applyNumberFormat="1" applyFont="1" applyFill="1" applyBorder="1" applyAlignment="1">
      <alignment horizontal="center"/>
    </xf>
    <xf numFmtId="0" fontId="51" fillId="2" borderId="9" xfId="0" applyFont="1" applyFill="1" applyBorder="1"/>
    <xf numFmtId="49" fontId="51" fillId="2" borderId="9" xfId="0" applyNumberFormat="1" applyFont="1" applyFill="1" applyBorder="1"/>
    <xf numFmtId="49" fontId="46" fillId="2" borderId="10" xfId="0" applyNumberFormat="1" applyFont="1" applyFill="1" applyBorder="1" applyAlignment="1">
      <alignment horizontal="left"/>
    </xf>
    <xf numFmtId="10" fontId="40" fillId="3" borderId="102" xfId="1" applyNumberFormat="1" applyFont="1" applyFill="1" applyBorder="1" applyAlignment="1">
      <alignment horizontal="center"/>
    </xf>
    <xf numFmtId="49" fontId="50" fillId="2" borderId="10" xfId="0" applyNumberFormat="1" applyFont="1" applyFill="1" applyBorder="1" applyAlignment="1">
      <alignment horizontal="left"/>
    </xf>
    <xf numFmtId="169" fontId="19" fillId="2" borderId="74" xfId="0" applyNumberFormat="1" applyFont="1" applyFill="1" applyBorder="1"/>
    <xf numFmtId="49" fontId="21" fillId="2" borderId="148" xfId="0" applyNumberFormat="1" applyFont="1" applyFill="1" applyBorder="1" applyAlignment="1">
      <alignment horizontal="center" vertical="center"/>
    </xf>
    <xf numFmtId="0" fontId="0" fillId="2" borderId="149" xfId="0" applyFill="1" applyBorder="1"/>
    <xf numFmtId="169" fontId="0" fillId="2" borderId="150" xfId="0" applyNumberFormat="1" applyFill="1" applyBorder="1"/>
    <xf numFmtId="169" fontId="0" fillId="2" borderId="151" xfId="0" applyNumberFormat="1" applyFill="1" applyBorder="1"/>
    <xf numFmtId="168" fontId="0" fillId="2" borderId="152" xfId="0" applyNumberFormat="1" applyFill="1" applyBorder="1"/>
    <xf numFmtId="0" fontId="0" fillId="2" borderId="150" xfId="0" applyFill="1" applyBorder="1"/>
    <xf numFmtId="169" fontId="19" fillId="2" borderId="151" xfId="0" applyNumberFormat="1" applyFont="1" applyFill="1" applyBorder="1"/>
    <xf numFmtId="169" fontId="0" fillId="2" borderId="152" xfId="0" applyNumberFormat="1" applyFill="1" applyBorder="1"/>
    <xf numFmtId="169" fontId="0" fillId="2" borderId="153" xfId="0" applyNumberFormat="1" applyFill="1" applyBorder="1"/>
    <xf numFmtId="169" fontId="29" fillId="2" borderId="154" xfId="0" applyNumberFormat="1" applyFont="1" applyFill="1" applyBorder="1"/>
    <xf numFmtId="0" fontId="0" fillId="2" borderId="155" xfId="0" applyFill="1" applyBorder="1"/>
    <xf numFmtId="168" fontId="22" fillId="2" borderId="156" xfId="0" applyNumberFormat="1" applyFont="1" applyFill="1" applyBorder="1"/>
    <xf numFmtId="168" fontId="28" fillId="2" borderId="157" xfId="0" applyNumberFormat="1" applyFont="1" applyFill="1" applyBorder="1"/>
    <xf numFmtId="169" fontId="29" fillId="2" borderId="158" xfId="0" applyNumberFormat="1" applyFont="1" applyFill="1" applyBorder="1"/>
    <xf numFmtId="170" fontId="32" fillId="2" borderId="159" xfId="0" applyNumberFormat="1" applyFont="1" applyFill="1" applyBorder="1" applyAlignment="1">
      <alignment horizontal="right"/>
    </xf>
    <xf numFmtId="0" fontId="0" fillId="2" borderId="157" xfId="0" applyFill="1" applyBorder="1"/>
    <xf numFmtId="169" fontId="0" fillId="2" borderId="160" xfId="0" applyNumberFormat="1" applyFill="1" applyBorder="1"/>
    <xf numFmtId="49" fontId="23" fillId="2" borderId="26" xfId="0" applyNumberFormat="1" applyFont="1" applyFill="1" applyBorder="1" applyAlignment="1">
      <alignment horizontal="center"/>
    </xf>
    <xf numFmtId="0" fontId="0" fillId="0" borderId="157" xfId="0" applyNumberFormat="1" applyBorder="1"/>
    <xf numFmtId="49" fontId="23" fillId="2" borderId="162" xfId="0" applyNumberFormat="1" applyFont="1" applyFill="1" applyBorder="1" applyAlignment="1">
      <alignment horizontal="center"/>
    </xf>
    <xf numFmtId="9" fontId="40" fillId="3" borderId="98" xfId="0" applyNumberFormat="1" applyFont="1" applyFill="1" applyBorder="1" applyAlignment="1">
      <alignment horizontal="left"/>
    </xf>
    <xf numFmtId="165" fontId="0" fillId="2" borderId="161" xfId="0" applyNumberFormat="1" applyFill="1" applyBorder="1"/>
    <xf numFmtId="165" fontId="0" fillId="2" borderId="163" xfId="0" applyNumberFormat="1" applyFill="1" applyBorder="1"/>
    <xf numFmtId="165" fontId="0" fillId="2" borderId="164" xfId="0" applyNumberFormat="1" applyFill="1" applyBorder="1"/>
    <xf numFmtId="165" fontId="0" fillId="2" borderId="165" xfId="0" applyNumberFormat="1" applyFill="1" applyBorder="1"/>
    <xf numFmtId="49" fontId="39" fillId="2" borderId="163" xfId="0" applyNumberFormat="1" applyFont="1" applyFill="1" applyBorder="1" applyAlignment="1">
      <alignment horizontal="right"/>
    </xf>
    <xf numFmtId="165" fontId="0" fillId="2" borderId="166" xfId="0" applyNumberFormat="1" applyFill="1" applyBorder="1"/>
    <xf numFmtId="165" fontId="23" fillId="2" borderId="167" xfId="0" applyNumberFormat="1" applyFont="1" applyFill="1" applyBorder="1"/>
    <xf numFmtId="169" fontId="40" fillId="3" borderId="28" xfId="0" applyNumberFormat="1" applyFont="1" applyFill="1" applyBorder="1" applyAlignment="1">
      <alignment horizontal="left"/>
    </xf>
    <xf numFmtId="169" fontId="40" fillId="3" borderId="98" xfId="0" applyNumberFormat="1" applyFont="1" applyFill="1" applyBorder="1" applyAlignment="1">
      <alignment horizontal="left"/>
    </xf>
    <xf numFmtId="49" fontId="23" fillId="2" borderId="27" xfId="0" applyNumberFormat="1" applyFont="1" applyFill="1" applyBorder="1"/>
    <xf numFmtId="165" fontId="0" fillId="2" borderId="168" xfId="0" applyNumberFormat="1" applyFill="1" applyBorder="1"/>
    <xf numFmtId="49" fontId="16" fillId="2" borderId="169" xfId="0" applyNumberFormat="1" applyFont="1" applyFill="1" applyBorder="1"/>
    <xf numFmtId="165" fontId="0" fillId="2" borderId="170" xfId="0" applyNumberFormat="1" applyFill="1" applyBorder="1"/>
    <xf numFmtId="165" fontId="0" fillId="2" borderId="171" xfId="0" applyNumberFormat="1" applyFill="1" applyBorder="1"/>
    <xf numFmtId="169" fontId="0" fillId="2" borderId="172" xfId="0" applyNumberFormat="1" applyFill="1" applyBorder="1" applyAlignment="1">
      <alignment horizontal="center"/>
    </xf>
    <xf numFmtId="169" fontId="0" fillId="2" borderId="173" xfId="0" applyNumberFormat="1" applyFill="1" applyBorder="1" applyAlignment="1">
      <alignment horizontal="center"/>
    </xf>
    <xf numFmtId="0" fontId="0" fillId="0" borderId="10" xfId="0" applyNumberFormat="1" applyBorder="1"/>
    <xf numFmtId="168" fontId="25" fillId="2" borderId="10" xfId="0" applyNumberFormat="1" applyFont="1" applyFill="1" applyBorder="1"/>
    <xf numFmtId="168" fontId="25" fillId="2" borderId="12" xfId="0" applyNumberFormat="1" applyFont="1" applyFill="1" applyBorder="1"/>
    <xf numFmtId="168" fontId="25" fillId="2" borderId="57" xfId="0" applyNumberFormat="1" applyFont="1" applyFill="1" applyBorder="1"/>
    <xf numFmtId="168" fontId="24" fillId="2" borderId="7" xfId="0" applyNumberFormat="1" applyFont="1" applyFill="1" applyBorder="1"/>
    <xf numFmtId="168" fontId="33" fillId="2" borderId="7" xfId="0" applyNumberFormat="1" applyFont="1" applyFill="1" applyBorder="1" applyAlignment="1">
      <alignment vertical="center"/>
    </xf>
    <xf numFmtId="168" fontId="27" fillId="2" borderId="8" xfId="0" applyNumberFormat="1" applyFont="1" applyFill="1" applyBorder="1" applyAlignment="1">
      <alignment horizontal="right"/>
    </xf>
    <xf numFmtId="168" fontId="34" fillId="2" borderId="56" xfId="0" applyNumberFormat="1" applyFont="1" applyFill="1" applyBorder="1" applyAlignment="1">
      <alignment vertical="center"/>
    </xf>
    <xf numFmtId="0" fontId="0" fillId="2" borderId="56" xfId="0" applyFill="1" applyBorder="1"/>
    <xf numFmtId="168" fontId="0" fillId="2" borderId="55" xfId="0" applyNumberFormat="1" applyFill="1" applyBorder="1"/>
    <xf numFmtId="49" fontId="8" fillId="2" borderId="9" xfId="0" applyNumberFormat="1" applyFont="1" applyFill="1" applyBorder="1" applyAlignment="1">
      <alignment wrapText="1"/>
    </xf>
    <xf numFmtId="166" fontId="8" fillId="2" borderId="10" xfId="0" applyNumberFormat="1" applyFont="1" applyFill="1" applyBorder="1" applyAlignment="1">
      <alignment wrapText="1"/>
    </xf>
    <xf numFmtId="0" fontId="5" fillId="2" borderId="6" xfId="0" applyNumberFormat="1" applyFont="1" applyFill="1" applyBorder="1"/>
    <xf numFmtId="0" fontId="20" fillId="2" borderId="10" xfId="0" applyNumberFormat="1" applyFont="1" applyFill="1" applyBorder="1" applyAlignment="1">
      <alignment vertical="center"/>
    </xf>
    <xf numFmtId="0" fontId="23" fillId="2" borderId="92" xfId="0" applyNumberFormat="1" applyFont="1" applyFill="1" applyBorder="1"/>
    <xf numFmtId="179" fontId="59" fillId="0" borderId="10" xfId="3" applyFont="1"/>
    <xf numFmtId="180" fontId="59" fillId="0" borderId="174" xfId="3" applyNumberFormat="1" applyFont="1" applyBorder="1"/>
    <xf numFmtId="180" fontId="59" fillId="0" borderId="175" xfId="3" applyNumberFormat="1" applyFont="1" applyBorder="1"/>
    <xf numFmtId="180" fontId="59" fillId="0" borderId="176" xfId="3" applyNumberFormat="1" applyFont="1" applyBorder="1"/>
    <xf numFmtId="180" fontId="60" fillId="4" borderId="177" xfId="3" applyNumberFormat="1" applyFont="1" applyFill="1" applyBorder="1" applyAlignment="1">
      <alignment horizontal="left" indent="1"/>
    </xf>
    <xf numFmtId="179" fontId="61" fillId="0" borderId="178" xfId="3" applyFont="1" applyBorder="1" applyAlignment="1">
      <alignment vertical="center"/>
    </xf>
    <xf numFmtId="179" fontId="59" fillId="0" borderId="179" xfId="3" applyFont="1" applyBorder="1" applyAlignment="1">
      <alignment horizontal="left" vertical="center" indent="1"/>
    </xf>
    <xf numFmtId="179" fontId="62" fillId="5" borderId="10" xfId="3" applyFont="1" applyFill="1"/>
    <xf numFmtId="180" fontId="59" fillId="0" borderId="180" xfId="3" applyNumberFormat="1" applyFont="1" applyBorder="1"/>
    <xf numFmtId="180" fontId="59" fillId="0" borderId="181" xfId="3" applyNumberFormat="1" applyFont="1" applyBorder="1"/>
    <xf numFmtId="180" fontId="59" fillId="0" borderId="182" xfId="3" applyNumberFormat="1" applyFont="1" applyBorder="1"/>
    <xf numFmtId="179" fontId="61" fillId="0" borderId="10" xfId="3" applyFont="1" applyAlignment="1">
      <alignment vertical="center"/>
    </xf>
    <xf numFmtId="179" fontId="59" fillId="0" borderId="183" xfId="3" applyFont="1" applyBorder="1" applyAlignment="1">
      <alignment horizontal="left" vertical="center" indent="1"/>
    </xf>
    <xf numFmtId="180" fontId="63" fillId="0" borderId="180" xfId="3" applyNumberFormat="1" applyFont="1" applyBorder="1"/>
    <xf numFmtId="180" fontId="63" fillId="0" borderId="181" xfId="3" applyNumberFormat="1" applyFont="1" applyBorder="1"/>
    <xf numFmtId="180" fontId="63" fillId="0" borderId="182" xfId="3" applyNumberFormat="1" applyFont="1" applyBorder="1"/>
    <xf numFmtId="181" fontId="64" fillId="0" borderId="10" xfId="3" applyNumberFormat="1" applyFont="1" applyAlignment="1">
      <alignment horizontal="right"/>
    </xf>
    <xf numFmtId="179" fontId="63" fillId="0" borderId="183" xfId="3" applyFont="1" applyBorder="1" applyAlignment="1">
      <alignment horizontal="left" vertical="center" indent="1"/>
    </xf>
    <xf numFmtId="179" fontId="65" fillId="6" borderId="10" xfId="3" applyFont="1" applyFill="1" applyAlignment="1">
      <alignment horizontal="right"/>
    </xf>
    <xf numFmtId="179" fontId="65" fillId="5" borderId="10" xfId="3" applyFont="1" applyFill="1" applyAlignment="1">
      <alignment horizontal="right"/>
    </xf>
    <xf numFmtId="181" fontId="66" fillId="0" borderId="10" xfId="3" applyNumberFormat="1" applyFont="1" applyAlignment="1">
      <alignment horizontal="right"/>
    </xf>
    <xf numFmtId="182" fontId="59" fillId="0" borderId="180" xfId="4" applyNumberFormat="1" applyFont="1" applyBorder="1" applyAlignment="1">
      <alignment vertical="center"/>
    </xf>
    <xf numFmtId="182" fontId="59" fillId="0" borderId="181" xfId="4" applyNumberFormat="1" applyFont="1" applyBorder="1" applyAlignment="1">
      <alignment vertical="center"/>
    </xf>
    <xf numFmtId="179" fontId="67" fillId="0" borderId="10" xfId="3" applyFont="1" applyAlignment="1">
      <alignment vertical="center"/>
    </xf>
    <xf numFmtId="182" fontId="59" fillId="0" borderId="184" xfId="4" applyNumberFormat="1" applyFont="1" applyBorder="1" applyAlignment="1">
      <alignment vertical="center"/>
    </xf>
    <xf numFmtId="0" fontId="69" fillId="0" borderId="10" xfId="5" applyFont="1" applyBorder="1" applyAlignment="1" applyProtection="1">
      <alignment horizontal="center" vertical="center"/>
    </xf>
    <xf numFmtId="0" fontId="69" fillId="0" borderId="10" xfId="5" applyFont="1" applyBorder="1" applyAlignment="1" applyProtection="1">
      <alignment vertical="center"/>
    </xf>
    <xf numFmtId="179" fontId="59" fillId="0" borderId="183" xfId="3" applyFont="1" applyBorder="1" applyAlignment="1">
      <alignment vertical="center"/>
    </xf>
    <xf numFmtId="183" fontId="70" fillId="0" borderId="185" xfId="3" applyNumberFormat="1" applyFont="1" applyBorder="1" applyAlignment="1">
      <alignment vertical="center"/>
    </xf>
    <xf numFmtId="179" fontId="71" fillId="5" borderId="186" xfId="3" applyFont="1" applyFill="1" applyBorder="1"/>
    <xf numFmtId="179" fontId="71" fillId="5" borderId="187" xfId="3" applyFont="1" applyFill="1" applyBorder="1"/>
    <xf numFmtId="183" fontId="72" fillId="0" borderId="10" xfId="3" applyNumberFormat="1" applyFont="1" applyAlignment="1">
      <alignment horizontal="left" vertical="center"/>
    </xf>
    <xf numFmtId="0" fontId="74" fillId="6" borderId="10" xfId="6" applyFont="1" applyFill="1" applyBorder="1" applyAlignment="1"/>
    <xf numFmtId="0" fontId="75" fillId="6" borderId="10" xfId="6" applyFont="1" applyFill="1" applyBorder="1" applyAlignment="1"/>
    <xf numFmtId="179" fontId="76" fillId="0" borderId="10" xfId="3" applyFont="1"/>
    <xf numFmtId="179" fontId="78" fillId="7" borderId="10" xfId="3" applyFont="1" applyFill="1"/>
    <xf numFmtId="9" fontId="39" fillId="2" borderId="103" xfId="1" applyFont="1" applyFill="1" applyBorder="1" applyAlignment="1">
      <alignment horizontal="center"/>
    </xf>
    <xf numFmtId="49" fontId="50" fillId="2" borderId="100" xfId="0" applyNumberFormat="1" applyFont="1" applyFill="1" applyBorder="1" applyAlignment="1">
      <alignment horizontal="left"/>
    </xf>
    <xf numFmtId="43" fontId="0" fillId="2" borderId="101" xfId="2" applyFont="1" applyFill="1" applyBorder="1" applyAlignment="1">
      <alignment horizontal="center"/>
    </xf>
    <xf numFmtId="43" fontId="0" fillId="2" borderId="57" xfId="2" applyFont="1" applyFill="1" applyBorder="1" applyAlignment="1">
      <alignment horizontal="center"/>
    </xf>
    <xf numFmtId="9" fontId="40" fillId="3" borderId="102" xfId="1" applyFont="1" applyFill="1" applyBorder="1" applyAlignment="1">
      <alignment horizontal="center"/>
    </xf>
    <xf numFmtId="49" fontId="50" fillId="2" borderId="119" xfId="0" applyNumberFormat="1" applyFont="1" applyFill="1" applyBorder="1"/>
    <xf numFmtId="169" fontId="50" fillId="2" borderId="122" xfId="0" applyNumberFormat="1" applyFont="1" applyFill="1" applyBorder="1" applyAlignment="1">
      <alignment horizontal="center"/>
    </xf>
    <xf numFmtId="165" fontId="3" fillId="2" borderId="2" xfId="0" applyNumberFormat="1" applyFont="1" applyFill="1" applyBorder="1" applyAlignment="1">
      <alignment horizontal="left"/>
    </xf>
    <xf numFmtId="49" fontId="8" fillId="2" borderId="22" xfId="0" applyNumberFormat="1" applyFont="1" applyFill="1" applyBorder="1" applyAlignment="1">
      <alignment horizontal="left"/>
    </xf>
    <xf numFmtId="165" fontId="8" fillId="2" borderId="23" xfId="0" applyNumberFormat="1" applyFont="1" applyFill="1" applyBorder="1" applyAlignment="1">
      <alignment horizontal="left"/>
    </xf>
    <xf numFmtId="165" fontId="8" fillId="2" borderId="24" xfId="0" applyNumberFormat="1" applyFont="1" applyFill="1" applyBorder="1" applyAlignment="1">
      <alignment horizontal="left"/>
    </xf>
    <xf numFmtId="49" fontId="8" fillId="2" borderId="34" xfId="0" applyNumberFormat="1" applyFont="1" applyFill="1" applyBorder="1" applyAlignment="1">
      <alignment horizontal="left"/>
    </xf>
    <xf numFmtId="165" fontId="8" fillId="2" borderId="35" xfId="0" applyNumberFormat="1" applyFont="1" applyFill="1" applyBorder="1" applyAlignment="1">
      <alignment horizontal="left"/>
    </xf>
    <xf numFmtId="165" fontId="8" fillId="2" borderId="36" xfId="0" applyNumberFormat="1" applyFont="1" applyFill="1" applyBorder="1" applyAlignment="1">
      <alignment horizontal="left"/>
    </xf>
    <xf numFmtId="49" fontId="8" fillId="2" borderId="28" xfId="0" applyNumberFormat="1" applyFont="1" applyFill="1" applyBorder="1" applyAlignment="1">
      <alignment horizontal="left"/>
    </xf>
    <xf numFmtId="165" fontId="8" fillId="2" borderId="29" xfId="0" applyNumberFormat="1" applyFont="1" applyFill="1" applyBorder="1" applyAlignment="1">
      <alignment horizontal="left"/>
    </xf>
    <xf numFmtId="165" fontId="8" fillId="2" borderId="30" xfId="0" applyNumberFormat="1" applyFont="1" applyFill="1" applyBorder="1" applyAlignment="1">
      <alignment horizontal="left"/>
    </xf>
    <xf numFmtId="178" fontId="40" fillId="3" borderId="10" xfId="0" applyNumberFormat="1" applyFont="1" applyFill="1" applyBorder="1" applyAlignment="1">
      <alignment horizontal="center"/>
    </xf>
    <xf numFmtId="166" fontId="56" fillId="2" borderId="10" xfId="0" applyNumberFormat="1" applyFont="1" applyFill="1" applyBorder="1" applyAlignment="1">
      <alignment horizontal="left" vertical="top" wrapText="1"/>
    </xf>
    <xf numFmtId="166" fontId="56" fillId="2" borderId="12" xfId="0" applyNumberFormat="1" applyFont="1" applyFill="1" applyBorder="1" applyAlignment="1">
      <alignment horizontal="left" vertical="top" wrapText="1"/>
    </xf>
    <xf numFmtId="168" fontId="26" fillId="2" borderId="62" xfId="0" applyNumberFormat="1" applyFont="1" applyFill="1" applyBorder="1" applyAlignment="1">
      <alignment horizontal="center"/>
    </xf>
    <xf numFmtId="168" fontId="26" fillId="2" borderId="63" xfId="0" applyNumberFormat="1" applyFont="1" applyFill="1" applyBorder="1" applyAlignment="1">
      <alignment horizontal="center"/>
    </xf>
    <xf numFmtId="168" fontId="26" fillId="2" borderId="33" xfId="0" applyNumberFormat="1" applyFont="1" applyFill="1" applyBorder="1" applyAlignment="1">
      <alignment horizontal="center"/>
    </xf>
    <xf numFmtId="168" fontId="26" fillId="2" borderId="85" xfId="0" applyNumberFormat="1" applyFont="1" applyFill="1" applyBorder="1" applyAlignment="1">
      <alignment horizontal="center"/>
    </xf>
    <xf numFmtId="168" fontId="26" fillId="2" borderId="72" xfId="0" applyNumberFormat="1" applyFont="1" applyFill="1" applyBorder="1" applyAlignment="1">
      <alignment horizontal="center"/>
    </xf>
    <xf numFmtId="165" fontId="0" fillId="2" borderId="3" xfId="0" applyNumberFormat="1" applyFill="1" applyBorder="1" applyAlignment="1">
      <alignment horizontal="right"/>
    </xf>
  </cellXfs>
  <cellStyles count="7">
    <cellStyle name="AFE" xfId="5" xr:uid="{8EECFFD7-633D-7742-96D3-FAF4B02E5CD6}"/>
    <cellStyle name="Comma" xfId="2" builtinId="3"/>
    <cellStyle name="Hyperlink" xfId="6" builtinId="8"/>
    <cellStyle name="Normal" xfId="0" builtinId="0"/>
    <cellStyle name="Normal 2" xfId="3" xr:uid="{DCA61AA6-2A8C-4949-9B5C-5DBDB01561F8}"/>
    <cellStyle name="Normal 6" xfId="4" xr:uid="{F068E117-B2B0-3E42-A25B-D14154F8CA85}"/>
    <cellStyle name="Per cent" xfId="1" builtin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97D800"/>
      <rgbColor rgb="FFCFCFCF"/>
      <rgbColor rgb="FF4BC3FF"/>
      <rgbColor rgb="FF3F3F3F"/>
      <rgbColor rgb="FF5F5F5F"/>
      <rgbColor rgb="FF333333"/>
      <rgbColor rgb="FFD8D8D8"/>
      <rgbColor rgb="FF25B2FC"/>
      <rgbColor rgb="FF0B2C44"/>
      <rgbColor rgb="FF595959"/>
      <rgbColor rgb="FFFF0000"/>
      <rgbColor rgb="FFADACAC"/>
      <rgbColor rgb="FF262626"/>
      <rgbColor rgb="FF98D50E"/>
      <rgbColor rgb="FFCBFFF0"/>
      <rgbColor rgb="FFFC0058"/>
      <rgbColor rgb="FFE94399"/>
      <rgbColor rgb="FF418FCA"/>
      <rgbColor rgb="FFD8D8D8"/>
      <rgbColor rgb="FF598A38"/>
      <rgbColor rgb="FFA7A7A7"/>
      <rgbColor rgb="FFA5A5A5"/>
      <rgbColor rgb="FFECECEC"/>
      <rgbColor rgb="FFC3ECFC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1143000</xdr:colOff>
      <xdr:row>1</xdr:row>
      <xdr:rowOff>114300</xdr:rowOff>
    </xdr:from>
    <xdr:to>
      <xdr:col>9</xdr:col>
      <xdr:colOff>571500</xdr:colOff>
      <xdr:row>1</xdr:row>
      <xdr:rowOff>527957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127F9DA5-12FA-1D4E-B8C5-C16FF6549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565900" y="317500"/>
          <a:ext cx="2895600" cy="4136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fabianapel/Documents/CV%20and%20Covers/Equidam%20Assignment/Equidam%20Assignment%201%20Fabian%20Ap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i/Desktop/PostPickr%202020/Documentazione%20aziendale%20/Documentazione%20Equidam%20/Copia%20di%2029-8-20%20PostPickr%20Financial%20Projections%20PP%20(Antonello%20edit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danielfaloppa/Downloads/Financial-projections-template%20(3).xlsx" TargetMode="External"/><Relationship Id="rId1" Type="http://schemas.openxmlformats.org/officeDocument/2006/relationships/externalLinkPath" Target="Financial-projections-template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WI Assumption Workings"/>
      <sheetName val="CASH FLOW with Yearly results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P&amp;L &amp; BS"/>
      <sheetName val="Revenues"/>
      <sheetName val="Costs"/>
      <sheetName val="Team"/>
      <sheetName val="BS CF"/>
      <sheetName val="Equidam Financials Input"/>
    </sheetNames>
    <sheetDataSet>
      <sheetData sheetId="0"/>
      <sheetData sheetId="1"/>
      <sheetData sheetId="2">
        <row r="10">
          <cell r="D10">
            <v>40483</v>
          </cell>
        </row>
        <row r="19">
          <cell r="H19">
            <v>169779.80392156861</v>
          </cell>
          <cell r="I19">
            <v>223029.22549019603</v>
          </cell>
          <cell r="J19">
            <v>295379.04068627441</v>
          </cell>
          <cell r="K19">
            <v>394139.50071078422</v>
          </cell>
          <cell r="L19">
            <v>529495.47130759794</v>
          </cell>
        </row>
        <row r="69">
          <cell r="H69">
            <v>820533.60000000009</v>
          </cell>
          <cell r="I69">
            <v>1079472.2000000002</v>
          </cell>
          <cell r="J69">
            <v>1424677.8599999999</v>
          </cell>
          <cell r="K69">
            <v>1894488.612</v>
          </cell>
          <cell r="L69">
            <v>2537045.5280000004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roduction"/>
      <sheetName val="Summary Financials"/>
      <sheetName val="Year 1"/>
      <sheetName val="Year 2"/>
      <sheetName val="Year 3"/>
      <sheetName val="Year 4"/>
      <sheetName val="Year 5"/>
      <sheetName val="Financing Schedule"/>
      <sheetName val="Overview of Inputs"/>
    </sheetNames>
    <sheetDataSet>
      <sheetData sheetId="0"/>
      <sheetData sheetId="1">
        <row r="69"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quidam.com/?ref=financial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45"/>
  <sheetViews>
    <sheetView showGridLines="0" workbookViewId="0">
      <selection activeCell="G24" sqref="G24"/>
    </sheetView>
  </sheetViews>
  <sheetFormatPr baseColWidth="10" defaultColWidth="11.1640625" defaultRowHeight="15" customHeight="1"/>
  <cols>
    <col min="1" max="1" width="7" style="1" customWidth="1"/>
    <col min="2" max="2" width="7.5" style="1" customWidth="1"/>
    <col min="3" max="3" width="15.1640625" style="1" customWidth="1"/>
    <col min="4" max="4" width="14" style="1" customWidth="1"/>
    <col min="5" max="5" width="15.1640625" style="1" customWidth="1"/>
    <col min="6" max="6" width="12.33203125" style="1" customWidth="1"/>
    <col min="7" max="10" width="15.1640625" style="1" customWidth="1"/>
    <col min="11" max="20" width="13.33203125" style="1" customWidth="1"/>
    <col min="21" max="256" width="11.1640625" style="1" customWidth="1"/>
  </cols>
  <sheetData>
    <row r="1" spans="1:20" ht="16" customHeight="1">
      <c r="A1" s="2"/>
      <c r="B1" s="601"/>
      <c r="C1" s="601"/>
      <c r="D1" s="3"/>
      <c r="E1" s="3"/>
      <c r="F1" s="3"/>
      <c r="G1" s="3"/>
      <c r="H1" s="3"/>
      <c r="I1" s="3"/>
      <c r="J1" s="4"/>
      <c r="K1" s="5"/>
      <c r="L1" s="6"/>
      <c r="M1" s="6"/>
      <c r="N1" s="6"/>
      <c r="O1" s="6"/>
      <c r="P1" s="6"/>
      <c r="Q1" s="6"/>
      <c r="R1" s="6"/>
      <c r="S1" s="6"/>
      <c r="T1" s="7"/>
    </row>
    <row r="2" spans="1:20" ht="45" customHeight="1">
      <c r="A2" s="8"/>
      <c r="B2" s="555" t="str">
        <f>"Financial Projections of "&amp;D4</f>
        <v>Financial Projections of Unicorn Inc.</v>
      </c>
      <c r="C2" s="9"/>
      <c r="D2" s="9"/>
      <c r="E2" s="10"/>
      <c r="F2" s="11"/>
      <c r="G2" s="11"/>
      <c r="H2" s="11"/>
      <c r="I2" s="12"/>
      <c r="J2" s="13"/>
      <c r="K2" s="14"/>
      <c r="L2" s="15"/>
      <c r="M2" s="15"/>
      <c r="N2" s="15"/>
      <c r="O2" s="15"/>
      <c r="P2" s="15"/>
      <c r="Q2" s="15"/>
      <c r="R2" s="15"/>
      <c r="S2" s="15"/>
      <c r="T2" s="16"/>
    </row>
    <row r="3" spans="1:20" ht="17" customHeight="1">
      <c r="A3" s="8"/>
      <c r="B3" s="553"/>
      <c r="C3" s="554"/>
      <c r="D3" s="554"/>
      <c r="E3" s="554"/>
      <c r="F3" s="554"/>
      <c r="G3" s="554"/>
      <c r="H3" s="612" t="s">
        <v>228</v>
      </c>
      <c r="I3" s="612"/>
      <c r="J3" s="613"/>
      <c r="K3" s="17"/>
      <c r="L3" s="18"/>
      <c r="M3" s="18"/>
      <c r="N3" s="18"/>
      <c r="O3" s="18"/>
      <c r="P3" s="15"/>
      <c r="Q3" s="15"/>
      <c r="R3" s="15"/>
      <c r="S3" s="15"/>
      <c r="T3" s="16"/>
    </row>
    <row r="4" spans="1:20" ht="17" customHeight="1">
      <c r="A4" s="8"/>
      <c r="B4" s="19" t="s">
        <v>222</v>
      </c>
      <c r="C4" s="20"/>
      <c r="D4" s="231" t="s">
        <v>224</v>
      </c>
      <c r="E4" s="20"/>
      <c r="F4" s="20"/>
      <c r="G4" s="20"/>
      <c r="H4" s="612"/>
      <c r="I4" s="612"/>
      <c r="J4" s="613"/>
      <c r="K4" s="14"/>
      <c r="L4" s="15"/>
      <c r="M4" s="15"/>
      <c r="N4" s="15"/>
      <c r="O4" s="15"/>
      <c r="P4" s="15"/>
      <c r="Q4" s="15"/>
      <c r="R4" s="15"/>
      <c r="S4" s="15"/>
      <c r="T4" s="16"/>
    </row>
    <row r="5" spans="1:20" ht="17" customHeight="1">
      <c r="A5" s="8"/>
      <c r="B5" s="19" t="s">
        <v>223</v>
      </c>
      <c r="C5" s="20"/>
      <c r="D5" s="611">
        <v>45292</v>
      </c>
      <c r="E5" s="611"/>
      <c r="F5" s="20"/>
      <c r="G5" s="20"/>
      <c r="H5" s="612"/>
      <c r="I5" s="612"/>
      <c r="J5" s="613"/>
      <c r="K5" s="14"/>
      <c r="L5" s="15"/>
      <c r="M5" s="15"/>
      <c r="N5" s="15"/>
      <c r="O5" s="15"/>
      <c r="P5" s="15"/>
      <c r="Q5" s="15"/>
      <c r="R5" s="15"/>
      <c r="S5" s="15"/>
      <c r="T5" s="16"/>
    </row>
    <row r="6" spans="1:20" ht="17" customHeight="1">
      <c r="A6" s="8"/>
      <c r="B6" s="19"/>
      <c r="C6" s="20"/>
      <c r="D6" s="20"/>
      <c r="E6" s="20"/>
      <c r="F6" s="20"/>
      <c r="G6" s="20"/>
      <c r="H6" s="612"/>
      <c r="I6" s="612"/>
      <c r="J6" s="613"/>
      <c r="K6" s="17"/>
      <c r="L6" s="18"/>
      <c r="M6" s="18"/>
      <c r="N6" s="18"/>
      <c r="O6" s="18"/>
      <c r="P6" s="15"/>
      <c r="Q6" s="15"/>
      <c r="R6" s="15"/>
      <c r="S6" s="15"/>
      <c r="T6" s="16"/>
    </row>
    <row r="7" spans="1:20" ht="17" customHeight="1">
      <c r="A7" s="8"/>
      <c r="B7" s="19"/>
      <c r="C7" s="20"/>
      <c r="D7" s="20"/>
      <c r="E7" s="20"/>
      <c r="F7" s="20"/>
      <c r="G7" s="20"/>
      <c r="H7" s="612"/>
      <c r="I7" s="612"/>
      <c r="J7" s="613"/>
      <c r="K7" s="14"/>
      <c r="L7" s="15"/>
      <c r="M7" s="15"/>
      <c r="N7" s="15"/>
      <c r="O7" s="15"/>
      <c r="P7" s="15"/>
      <c r="Q7" s="15"/>
      <c r="R7" s="15"/>
      <c r="S7" s="15"/>
      <c r="T7" s="16"/>
    </row>
    <row r="8" spans="1:20" ht="17" customHeight="1">
      <c r="A8" s="8"/>
      <c r="B8" s="22"/>
      <c r="C8" s="23"/>
      <c r="D8" s="23"/>
      <c r="E8" s="23"/>
      <c r="F8" s="23"/>
      <c r="G8" s="23"/>
      <c r="H8" s="23"/>
      <c r="I8" s="23"/>
      <c r="J8" s="24"/>
      <c r="K8" s="25"/>
      <c r="L8" s="26"/>
      <c r="M8" s="15"/>
      <c r="N8" s="15"/>
      <c r="O8" s="15"/>
      <c r="P8" s="15"/>
      <c r="Q8" s="15"/>
      <c r="R8" s="15"/>
      <c r="S8" s="15"/>
      <c r="T8" s="16"/>
    </row>
    <row r="9" spans="1:20" ht="28" customHeight="1">
      <c r="A9" s="8"/>
      <c r="B9" s="27" t="s">
        <v>227</v>
      </c>
      <c r="C9" s="28"/>
      <c r="D9" s="28"/>
      <c r="E9" s="28"/>
      <c r="F9" s="28"/>
      <c r="G9" s="28"/>
      <c r="H9" s="28"/>
      <c r="I9" s="28"/>
      <c r="J9" s="29"/>
      <c r="K9" s="25"/>
      <c r="L9" s="26"/>
      <c r="M9" s="15"/>
      <c r="N9" s="15"/>
      <c r="O9" s="15"/>
      <c r="P9" s="15"/>
      <c r="Q9" s="15"/>
      <c r="R9" s="15"/>
      <c r="S9" s="15"/>
      <c r="T9" s="16"/>
    </row>
    <row r="10" spans="1:20" ht="19" customHeight="1">
      <c r="A10" s="8"/>
      <c r="B10" s="30" t="s">
        <v>0</v>
      </c>
      <c r="C10" s="31" t="s">
        <v>1</v>
      </c>
      <c r="D10" s="32"/>
      <c r="E10" s="31" t="s">
        <v>2</v>
      </c>
      <c r="F10" s="32"/>
      <c r="G10" s="32"/>
      <c r="H10" s="32"/>
      <c r="I10" s="32"/>
      <c r="J10" s="33"/>
      <c r="K10" s="34"/>
      <c r="L10" s="35"/>
      <c r="M10" s="15"/>
      <c r="N10" s="15"/>
      <c r="O10" s="15"/>
      <c r="P10" s="15"/>
      <c r="Q10" s="15"/>
      <c r="R10" s="15"/>
      <c r="S10" s="15"/>
      <c r="T10" s="16"/>
    </row>
    <row r="11" spans="1:20" ht="20" customHeight="1">
      <c r="A11" s="8"/>
      <c r="B11" s="36">
        <v>1</v>
      </c>
      <c r="C11" s="37" t="s">
        <v>3</v>
      </c>
      <c r="D11" s="38"/>
      <c r="E11" s="602" t="s">
        <v>4</v>
      </c>
      <c r="F11" s="603"/>
      <c r="G11" s="603"/>
      <c r="H11" s="603"/>
      <c r="I11" s="603"/>
      <c r="J11" s="604"/>
      <c r="K11" s="39"/>
      <c r="L11" s="26"/>
      <c r="M11" s="40"/>
      <c r="N11" s="40"/>
      <c r="O11" s="40"/>
      <c r="P11" s="40"/>
      <c r="Q11" s="40"/>
      <c r="R11" s="40"/>
      <c r="S11" s="40"/>
      <c r="T11" s="41"/>
    </row>
    <row r="12" spans="1:20" ht="35" customHeight="1">
      <c r="A12" s="8"/>
      <c r="B12" s="42">
        <v>2</v>
      </c>
      <c r="C12" s="43" t="s">
        <v>5</v>
      </c>
      <c r="D12" s="44"/>
      <c r="E12" s="608" t="s">
        <v>6</v>
      </c>
      <c r="F12" s="609"/>
      <c r="G12" s="609"/>
      <c r="H12" s="609"/>
      <c r="I12" s="609"/>
      <c r="J12" s="610"/>
      <c r="K12" s="39"/>
      <c r="L12" s="26"/>
      <c r="M12" s="40"/>
      <c r="N12" s="40"/>
      <c r="O12" s="40"/>
      <c r="P12" s="40"/>
      <c r="Q12" s="40"/>
      <c r="R12" s="40"/>
      <c r="S12" s="40"/>
      <c r="T12" s="41"/>
    </row>
    <row r="13" spans="1:20" ht="35" customHeight="1">
      <c r="A13" s="8"/>
      <c r="B13" s="42">
        <v>3</v>
      </c>
      <c r="C13" s="43" t="s">
        <v>7</v>
      </c>
      <c r="D13" s="44"/>
      <c r="E13" s="608" t="s">
        <v>8</v>
      </c>
      <c r="F13" s="609"/>
      <c r="G13" s="609"/>
      <c r="H13" s="609"/>
      <c r="I13" s="609"/>
      <c r="J13" s="610"/>
      <c r="K13" s="39"/>
      <c r="L13" s="26"/>
      <c r="M13" s="40"/>
      <c r="N13" s="40"/>
      <c r="O13" s="40"/>
      <c r="P13" s="40"/>
      <c r="Q13" s="40"/>
      <c r="R13" s="40"/>
      <c r="S13" s="40"/>
      <c r="T13" s="41"/>
    </row>
    <row r="14" spans="1:20" ht="35" customHeight="1">
      <c r="A14" s="8"/>
      <c r="B14" s="42">
        <v>4</v>
      </c>
      <c r="C14" s="43" t="s">
        <v>9</v>
      </c>
      <c r="D14" s="44"/>
      <c r="E14" s="608" t="s">
        <v>10</v>
      </c>
      <c r="F14" s="609"/>
      <c r="G14" s="609"/>
      <c r="H14" s="609"/>
      <c r="I14" s="609"/>
      <c r="J14" s="610"/>
      <c r="K14" s="39"/>
      <c r="L14" s="26"/>
      <c r="M14" s="40"/>
      <c r="N14" s="40"/>
      <c r="O14" s="40"/>
      <c r="P14" s="40"/>
      <c r="Q14" s="40"/>
      <c r="R14" s="40"/>
      <c r="S14" s="40"/>
      <c r="T14" s="41"/>
    </row>
    <row r="15" spans="1:20" ht="35" customHeight="1">
      <c r="A15" s="8"/>
      <c r="B15" s="42">
        <v>5</v>
      </c>
      <c r="C15" s="43" t="s">
        <v>11</v>
      </c>
      <c r="D15" s="44"/>
      <c r="E15" s="608" t="s">
        <v>12</v>
      </c>
      <c r="F15" s="609"/>
      <c r="G15" s="609"/>
      <c r="H15" s="609"/>
      <c r="I15" s="609"/>
      <c r="J15" s="610"/>
      <c r="K15" s="39"/>
      <c r="L15" s="26"/>
      <c r="M15" s="40"/>
      <c r="N15" s="40"/>
      <c r="O15" s="40"/>
      <c r="P15" s="40"/>
      <c r="Q15" s="40"/>
      <c r="R15" s="40"/>
      <c r="S15" s="40"/>
      <c r="T15" s="41"/>
    </row>
    <row r="16" spans="1:20" ht="35" customHeight="1">
      <c r="A16" s="8"/>
      <c r="B16" s="45">
        <v>9</v>
      </c>
      <c r="C16" s="46" t="s">
        <v>13</v>
      </c>
      <c r="D16" s="47"/>
      <c r="E16" s="605" t="s">
        <v>14</v>
      </c>
      <c r="F16" s="606"/>
      <c r="G16" s="606"/>
      <c r="H16" s="606"/>
      <c r="I16" s="606"/>
      <c r="J16" s="607"/>
      <c r="K16" s="39"/>
      <c r="L16" s="26"/>
      <c r="M16" s="40"/>
      <c r="N16" s="40"/>
      <c r="O16" s="40"/>
      <c r="P16" s="40"/>
      <c r="Q16" s="40"/>
      <c r="R16" s="40"/>
      <c r="S16" s="40"/>
      <c r="T16" s="41"/>
    </row>
    <row r="17" spans="1:20" ht="15" customHeight="1">
      <c r="A17" s="48"/>
      <c r="B17" s="49"/>
      <c r="C17" s="49"/>
      <c r="D17" s="49"/>
      <c r="E17" s="49"/>
      <c r="F17" s="49"/>
      <c r="G17" s="49"/>
      <c r="H17" s="49"/>
      <c r="I17" s="49"/>
      <c r="J17" s="49"/>
      <c r="K17" s="26"/>
      <c r="L17" s="26"/>
      <c r="M17" s="15"/>
      <c r="N17" s="15"/>
      <c r="O17" s="15"/>
      <c r="P17" s="15"/>
      <c r="Q17" s="15"/>
      <c r="R17" s="15"/>
      <c r="S17" s="15"/>
      <c r="T17" s="16"/>
    </row>
    <row r="18" spans="1:20" ht="15" customHeight="1">
      <c r="A18" s="48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15"/>
      <c r="N18" s="15"/>
      <c r="O18" s="15"/>
      <c r="P18" s="15"/>
      <c r="Q18" s="15"/>
      <c r="R18" s="15"/>
      <c r="S18" s="15"/>
      <c r="T18" s="16"/>
    </row>
    <row r="19" spans="1:20" ht="16" customHeight="1">
      <c r="A19" s="48"/>
      <c r="B19" s="15"/>
      <c r="C19" s="15"/>
      <c r="D19" s="15"/>
      <c r="E19" s="15"/>
      <c r="F19" s="15"/>
      <c r="G19" s="15"/>
      <c r="H19" s="50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6"/>
    </row>
    <row r="20" spans="1:20" ht="16" customHeight="1">
      <c r="A20" s="48"/>
      <c r="B20" s="15"/>
      <c r="C20" s="15"/>
      <c r="D20" s="15"/>
      <c r="E20" s="15"/>
      <c r="F20" s="15"/>
      <c r="G20" s="15"/>
      <c r="H20" s="50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6"/>
    </row>
    <row r="21" spans="1:20" ht="16" customHeight="1">
      <c r="A21" s="48"/>
      <c r="B21" s="15"/>
      <c r="C21" s="15"/>
      <c r="D21" s="15"/>
      <c r="E21" s="15"/>
      <c r="F21" s="15"/>
      <c r="G21" s="15"/>
      <c r="H21" s="50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6"/>
    </row>
    <row r="22" spans="1:20" ht="16" customHeight="1">
      <c r="A22" s="48"/>
      <c r="B22" s="15"/>
      <c r="C22" s="15"/>
      <c r="D22" s="15"/>
      <c r="E22" s="15"/>
      <c r="F22" s="15"/>
      <c r="G22" s="15"/>
      <c r="H22" s="51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6"/>
    </row>
    <row r="23" spans="1:20" ht="16" customHeight="1">
      <c r="A23" s="48"/>
      <c r="B23" s="15"/>
      <c r="C23" s="15"/>
      <c r="D23" s="15"/>
      <c r="E23" s="15"/>
      <c r="F23" s="15"/>
      <c r="G23" s="15"/>
      <c r="H23" s="50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6"/>
    </row>
    <row r="24" spans="1:20" ht="16" customHeight="1">
      <c r="A24" s="48"/>
      <c r="B24" s="15"/>
      <c r="C24" s="15"/>
      <c r="D24" s="15"/>
      <c r="E24" s="15"/>
      <c r="F24" s="15"/>
      <c r="G24" s="15"/>
      <c r="H24" s="50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6"/>
    </row>
    <row r="25" spans="1:20" ht="16" customHeight="1">
      <c r="A25" s="48"/>
      <c r="B25" s="15"/>
      <c r="C25" s="15"/>
      <c r="D25" s="15"/>
      <c r="E25" s="15"/>
      <c r="F25" s="15"/>
      <c r="G25" s="15"/>
      <c r="H25" s="50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6"/>
    </row>
    <row r="26" spans="1:20" ht="16" customHeight="1">
      <c r="A26" s="48"/>
      <c r="B26" s="15"/>
      <c r="C26" s="15"/>
      <c r="D26" s="15"/>
      <c r="E26" s="15"/>
      <c r="F26" s="15"/>
      <c r="G26" s="15"/>
      <c r="H26" s="50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6"/>
    </row>
    <row r="27" spans="1:20" ht="16" customHeight="1">
      <c r="A27" s="48"/>
      <c r="B27" s="15"/>
      <c r="C27" s="15"/>
      <c r="D27" s="15"/>
      <c r="E27" s="15"/>
      <c r="F27" s="15"/>
      <c r="G27" s="15"/>
      <c r="H27" s="50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6"/>
    </row>
    <row r="28" spans="1:20" ht="16" customHeight="1">
      <c r="A28" s="48"/>
      <c r="B28" s="15"/>
      <c r="C28" s="15"/>
      <c r="D28" s="15"/>
      <c r="E28" s="15"/>
      <c r="F28" s="15"/>
      <c r="G28" s="15"/>
      <c r="H28" s="50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6"/>
    </row>
    <row r="29" spans="1:20" ht="16" customHeight="1">
      <c r="A29" s="48"/>
      <c r="B29" s="15"/>
      <c r="C29" s="15"/>
      <c r="D29" s="15"/>
      <c r="E29" s="15"/>
      <c r="F29" s="15"/>
      <c r="G29" s="15"/>
      <c r="H29" s="50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6"/>
    </row>
    <row r="30" spans="1:20" ht="16" customHeight="1">
      <c r="A30" s="48"/>
      <c r="B30" s="15"/>
      <c r="C30" s="15"/>
      <c r="D30" s="15"/>
      <c r="E30" s="15"/>
      <c r="F30" s="15"/>
      <c r="G30" s="15"/>
      <c r="H30" s="50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6"/>
    </row>
    <row r="31" spans="1:20" ht="16" customHeight="1">
      <c r="A31" s="48"/>
      <c r="B31" s="15"/>
      <c r="C31" s="15"/>
      <c r="D31" s="15"/>
      <c r="E31" s="15"/>
      <c r="F31" s="15"/>
      <c r="G31" s="15"/>
      <c r="H31" s="50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6"/>
    </row>
    <row r="32" spans="1:20" ht="16" customHeight="1">
      <c r="A32" s="48"/>
      <c r="B32" s="15"/>
      <c r="C32" s="15"/>
      <c r="D32" s="15"/>
      <c r="E32" s="15"/>
      <c r="F32" s="15"/>
      <c r="G32" s="15"/>
      <c r="H32" s="50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6"/>
    </row>
    <row r="33" spans="1:20" ht="16" customHeight="1">
      <c r="A33" s="48"/>
      <c r="B33" s="15"/>
      <c r="C33" s="15"/>
      <c r="D33" s="15"/>
      <c r="E33" s="15"/>
      <c r="F33" s="15"/>
      <c r="G33" s="15"/>
      <c r="H33" s="50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6"/>
    </row>
    <row r="34" spans="1:20" ht="16" customHeight="1">
      <c r="A34" s="48"/>
      <c r="B34" s="15"/>
      <c r="C34" s="15"/>
      <c r="D34" s="15"/>
      <c r="E34" s="15"/>
      <c r="F34" s="15"/>
      <c r="G34" s="15"/>
      <c r="H34" s="50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6"/>
    </row>
    <row r="35" spans="1:20" ht="16" customHeight="1">
      <c r="A35" s="48"/>
      <c r="B35" s="15"/>
      <c r="C35" s="15"/>
      <c r="D35" s="15"/>
      <c r="E35" s="15"/>
      <c r="F35" s="15"/>
      <c r="G35" s="15"/>
      <c r="H35" s="21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6"/>
    </row>
    <row r="36" spans="1:20" ht="16" customHeight="1">
      <c r="A36" s="48"/>
      <c r="B36" s="15"/>
      <c r="C36" s="15"/>
      <c r="D36" s="15"/>
      <c r="E36" s="15"/>
      <c r="F36" s="15"/>
      <c r="G36" s="15"/>
      <c r="H36" s="21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6"/>
    </row>
    <row r="37" spans="1:20" ht="16" customHeight="1">
      <c r="A37" s="48"/>
      <c r="B37" s="15"/>
      <c r="C37" s="15"/>
      <c r="D37" s="15"/>
      <c r="E37" s="15"/>
      <c r="F37" s="15"/>
      <c r="G37" s="15"/>
      <c r="H37" s="21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6"/>
    </row>
    <row r="38" spans="1:20" ht="16" customHeight="1">
      <c r="A38" s="48"/>
      <c r="B38" s="15"/>
      <c r="C38" s="15"/>
      <c r="D38" s="15"/>
      <c r="E38" s="15"/>
      <c r="F38" s="15"/>
      <c r="G38" s="15"/>
      <c r="H38" s="50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6"/>
    </row>
    <row r="39" spans="1:20" ht="16" customHeight="1">
      <c r="A39" s="48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6"/>
    </row>
    <row r="40" spans="1:20" ht="16" customHeight="1">
      <c r="A40" s="48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6"/>
    </row>
    <row r="41" spans="1:20" ht="16" customHeight="1">
      <c r="A41" s="48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6"/>
    </row>
    <row r="42" spans="1:20" ht="16" customHeight="1">
      <c r="A42" s="48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6"/>
    </row>
    <row r="43" spans="1:20" ht="16" customHeight="1">
      <c r="A43" s="48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6"/>
    </row>
    <row r="44" spans="1:20" ht="16" customHeight="1">
      <c r="A44" s="48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6"/>
    </row>
    <row r="45" spans="1:20" ht="16" customHeight="1">
      <c r="A45" s="48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6"/>
    </row>
    <row r="46" spans="1:20" ht="16" customHeight="1">
      <c r="A46" s="48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6"/>
    </row>
    <row r="47" spans="1:20" ht="16" customHeight="1">
      <c r="A47" s="48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6"/>
    </row>
    <row r="48" spans="1:20" ht="16" customHeight="1">
      <c r="A48" s="48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6"/>
    </row>
    <row r="49" spans="1:20" ht="16" customHeight="1">
      <c r="A49" s="48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6"/>
    </row>
    <row r="50" spans="1:20" ht="16" customHeight="1">
      <c r="A50" s="48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6"/>
    </row>
    <row r="51" spans="1:20" ht="16" customHeight="1">
      <c r="A51" s="48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6"/>
    </row>
    <row r="52" spans="1:20" ht="16" customHeight="1">
      <c r="A52" s="48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6"/>
    </row>
    <row r="53" spans="1:20" ht="16" customHeight="1">
      <c r="A53" s="48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6"/>
    </row>
    <row r="54" spans="1:20" ht="16" customHeight="1">
      <c r="A54" s="48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6"/>
    </row>
    <row r="55" spans="1:20" ht="16" customHeight="1">
      <c r="A55" s="48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6"/>
    </row>
    <row r="56" spans="1:20" ht="16" customHeight="1">
      <c r="A56" s="48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6"/>
    </row>
    <row r="57" spans="1:20" ht="16" customHeight="1">
      <c r="A57" s="48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6"/>
    </row>
    <row r="58" spans="1:20" ht="16" customHeight="1">
      <c r="A58" s="48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6"/>
    </row>
    <row r="59" spans="1:20" ht="16" customHeight="1">
      <c r="A59" s="48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6"/>
    </row>
    <row r="60" spans="1:20" ht="16" customHeight="1">
      <c r="A60" s="48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6"/>
    </row>
    <row r="61" spans="1:20" ht="16" customHeight="1">
      <c r="A61" s="48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6"/>
    </row>
    <row r="62" spans="1:20" ht="16" customHeight="1">
      <c r="A62" s="48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6"/>
    </row>
    <row r="63" spans="1:20" ht="16" customHeight="1">
      <c r="A63" s="48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6"/>
    </row>
    <row r="64" spans="1:20" ht="16" customHeight="1">
      <c r="A64" s="48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6"/>
    </row>
    <row r="65" spans="1:20" ht="16" customHeight="1">
      <c r="A65" s="48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6"/>
    </row>
    <row r="66" spans="1:20" ht="16" customHeight="1">
      <c r="A66" s="48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6"/>
    </row>
    <row r="67" spans="1:20" ht="16" customHeight="1">
      <c r="A67" s="48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6"/>
    </row>
    <row r="68" spans="1:20" ht="16" customHeight="1">
      <c r="A68" s="48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6"/>
    </row>
    <row r="69" spans="1:20" ht="16" customHeight="1">
      <c r="A69" s="48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6"/>
    </row>
    <row r="70" spans="1:20" ht="16" customHeight="1">
      <c r="A70" s="48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6"/>
    </row>
    <row r="71" spans="1:20" ht="16" customHeight="1">
      <c r="A71" s="48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6"/>
    </row>
    <row r="72" spans="1:20" ht="16" customHeight="1">
      <c r="A72" s="48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6"/>
    </row>
    <row r="73" spans="1:20" ht="16" customHeight="1">
      <c r="A73" s="48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6"/>
    </row>
    <row r="74" spans="1:20" ht="16" customHeight="1">
      <c r="A74" s="48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6"/>
    </row>
    <row r="75" spans="1:20" ht="16" customHeight="1">
      <c r="A75" s="48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6"/>
    </row>
    <row r="76" spans="1:20" ht="16" customHeight="1">
      <c r="A76" s="48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6"/>
    </row>
    <row r="77" spans="1:20" ht="16" customHeight="1">
      <c r="A77" s="48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6"/>
    </row>
    <row r="78" spans="1:20" ht="16" customHeight="1">
      <c r="A78" s="48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6"/>
    </row>
    <row r="79" spans="1:20" ht="16" customHeight="1">
      <c r="A79" s="48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6"/>
    </row>
    <row r="80" spans="1:20" ht="16" customHeight="1">
      <c r="A80" s="48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6"/>
    </row>
    <row r="81" spans="1:20" ht="16" customHeight="1">
      <c r="A81" s="48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6"/>
    </row>
    <row r="82" spans="1:20" ht="16" customHeight="1">
      <c r="A82" s="48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6"/>
    </row>
    <row r="83" spans="1:20" ht="16" customHeight="1">
      <c r="A83" s="48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6"/>
    </row>
    <row r="84" spans="1:20" ht="16" customHeight="1">
      <c r="A84" s="48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6"/>
    </row>
    <row r="85" spans="1:20" ht="16" customHeight="1">
      <c r="A85" s="48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6"/>
    </row>
    <row r="86" spans="1:20" ht="16" customHeight="1">
      <c r="A86" s="48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6"/>
    </row>
    <row r="87" spans="1:20" ht="16" customHeight="1">
      <c r="A87" s="48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6"/>
    </row>
    <row r="88" spans="1:20" ht="16" customHeight="1">
      <c r="A88" s="48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6"/>
    </row>
    <row r="89" spans="1:20" ht="16" customHeight="1">
      <c r="A89" s="48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6"/>
    </row>
    <row r="90" spans="1:20" ht="16" customHeight="1">
      <c r="A90" s="48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6"/>
    </row>
    <row r="91" spans="1:20" ht="16" customHeight="1">
      <c r="A91" s="48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6"/>
    </row>
    <row r="92" spans="1:20" ht="16" customHeight="1">
      <c r="A92" s="48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6"/>
    </row>
    <row r="93" spans="1:20" ht="16" customHeight="1">
      <c r="A93" s="48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6"/>
    </row>
    <row r="94" spans="1:20" ht="16" customHeight="1">
      <c r="A94" s="48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6"/>
    </row>
    <row r="95" spans="1:20" ht="16" customHeight="1">
      <c r="A95" s="48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6"/>
    </row>
    <row r="96" spans="1:20" ht="16" customHeight="1">
      <c r="A96" s="48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6"/>
    </row>
    <row r="97" spans="1:20" ht="16" customHeight="1">
      <c r="A97" s="48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6"/>
    </row>
    <row r="98" spans="1:20" ht="16" customHeight="1">
      <c r="A98" s="48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6"/>
    </row>
    <row r="99" spans="1:20" ht="16" customHeight="1">
      <c r="A99" s="48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6"/>
    </row>
    <row r="100" spans="1:20" ht="16" customHeight="1">
      <c r="A100" s="48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6"/>
    </row>
    <row r="101" spans="1:20" ht="16" customHeight="1">
      <c r="A101" s="48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6"/>
    </row>
    <row r="102" spans="1:20" ht="16" customHeight="1">
      <c r="A102" s="48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6"/>
    </row>
    <row r="103" spans="1:20" ht="16" customHeight="1">
      <c r="A103" s="48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6"/>
    </row>
    <row r="104" spans="1:20" ht="16" customHeight="1">
      <c r="A104" s="48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6"/>
    </row>
    <row r="105" spans="1:20" ht="16" customHeight="1">
      <c r="A105" s="48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6"/>
    </row>
    <row r="106" spans="1:20" ht="16" customHeight="1">
      <c r="A106" s="48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6"/>
    </row>
    <row r="107" spans="1:20" ht="16" customHeight="1">
      <c r="A107" s="48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6"/>
    </row>
    <row r="108" spans="1:20" ht="16" customHeight="1">
      <c r="A108" s="48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6"/>
    </row>
    <row r="109" spans="1:20" ht="16" customHeight="1">
      <c r="A109" s="48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6"/>
    </row>
    <row r="110" spans="1:20" ht="16" customHeight="1">
      <c r="A110" s="48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6"/>
    </row>
    <row r="111" spans="1:20" ht="16" customHeight="1">
      <c r="A111" s="48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6"/>
    </row>
    <row r="112" spans="1:20" ht="16" customHeight="1">
      <c r="A112" s="48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6"/>
    </row>
    <row r="113" spans="1:20" ht="16" customHeight="1">
      <c r="A113" s="48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6"/>
    </row>
    <row r="114" spans="1:20" ht="16" customHeight="1">
      <c r="A114" s="48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6"/>
    </row>
    <row r="115" spans="1:20" ht="16" customHeight="1">
      <c r="A115" s="48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6"/>
    </row>
    <row r="116" spans="1:20" ht="16" customHeight="1">
      <c r="A116" s="48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6"/>
    </row>
    <row r="117" spans="1:20" ht="16" customHeight="1">
      <c r="A117" s="48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6"/>
    </row>
    <row r="118" spans="1:20" ht="16" customHeight="1">
      <c r="A118" s="48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6"/>
    </row>
    <row r="119" spans="1:20" ht="16" customHeight="1">
      <c r="A119" s="48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6"/>
    </row>
    <row r="120" spans="1:20" ht="16" customHeight="1">
      <c r="A120" s="48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6"/>
    </row>
    <row r="121" spans="1:20" ht="16" customHeight="1">
      <c r="A121" s="48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6"/>
    </row>
    <row r="122" spans="1:20" ht="16" customHeight="1">
      <c r="A122" s="48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6"/>
    </row>
    <row r="123" spans="1:20" ht="16" customHeight="1">
      <c r="A123" s="48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6"/>
    </row>
    <row r="124" spans="1:20" ht="16" customHeight="1">
      <c r="A124" s="48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6"/>
    </row>
    <row r="125" spans="1:20" ht="16" customHeight="1">
      <c r="A125" s="48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6"/>
    </row>
    <row r="126" spans="1:20" ht="16" customHeight="1">
      <c r="A126" s="48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6"/>
    </row>
    <row r="127" spans="1:20" ht="16" customHeight="1">
      <c r="A127" s="48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6"/>
    </row>
    <row r="128" spans="1:20" ht="16" customHeight="1">
      <c r="A128" s="48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6"/>
    </row>
    <row r="129" spans="1:20" ht="16" customHeight="1">
      <c r="A129" s="48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6"/>
    </row>
    <row r="130" spans="1:20" ht="16" customHeight="1">
      <c r="A130" s="48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6"/>
    </row>
    <row r="131" spans="1:20" ht="16" customHeight="1">
      <c r="A131" s="48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6"/>
    </row>
    <row r="132" spans="1:20" ht="16" customHeight="1">
      <c r="A132" s="48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6"/>
    </row>
    <row r="133" spans="1:20" ht="16" customHeight="1">
      <c r="A133" s="48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6"/>
    </row>
    <row r="134" spans="1:20" ht="16" customHeight="1">
      <c r="A134" s="48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6"/>
    </row>
    <row r="135" spans="1:20" ht="16" customHeight="1">
      <c r="A135" s="48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6"/>
    </row>
    <row r="136" spans="1:20" ht="16" customHeight="1">
      <c r="A136" s="48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6"/>
    </row>
    <row r="137" spans="1:20" ht="16" customHeight="1">
      <c r="A137" s="48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6"/>
    </row>
    <row r="138" spans="1:20" ht="16" customHeight="1">
      <c r="A138" s="48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6"/>
    </row>
    <row r="139" spans="1:20" ht="16" customHeight="1">
      <c r="A139" s="48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6"/>
    </row>
    <row r="140" spans="1:20" ht="16" customHeight="1">
      <c r="A140" s="48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6"/>
    </row>
    <row r="141" spans="1:20" ht="16" customHeight="1">
      <c r="A141" s="48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6"/>
    </row>
    <row r="142" spans="1:20" ht="16" customHeight="1">
      <c r="A142" s="48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6"/>
    </row>
    <row r="143" spans="1:20" ht="16" customHeight="1">
      <c r="A143" s="48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6"/>
    </row>
    <row r="144" spans="1:20" ht="16" customHeight="1">
      <c r="A144" s="48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6"/>
    </row>
    <row r="145" spans="1:20" ht="16" customHeight="1">
      <c r="A145" s="48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6"/>
    </row>
    <row r="146" spans="1:20" ht="16" customHeight="1">
      <c r="A146" s="48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6"/>
    </row>
    <row r="147" spans="1:20" ht="16" customHeight="1">
      <c r="A147" s="48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6"/>
    </row>
    <row r="148" spans="1:20" ht="16" customHeight="1">
      <c r="A148" s="48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6"/>
    </row>
    <row r="149" spans="1:20" ht="16" customHeight="1">
      <c r="A149" s="48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6"/>
    </row>
    <row r="150" spans="1:20" ht="16" customHeight="1">
      <c r="A150" s="48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6"/>
    </row>
    <row r="151" spans="1:20" ht="16" customHeight="1">
      <c r="A151" s="48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6"/>
    </row>
    <row r="152" spans="1:20" ht="16" customHeight="1">
      <c r="A152" s="48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6"/>
    </row>
    <row r="153" spans="1:20" ht="16" customHeight="1">
      <c r="A153" s="48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6"/>
    </row>
    <row r="154" spans="1:20" ht="16" customHeight="1">
      <c r="A154" s="48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6"/>
    </row>
    <row r="155" spans="1:20" ht="16" customHeight="1">
      <c r="A155" s="48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6"/>
    </row>
    <row r="156" spans="1:20" ht="16" customHeight="1">
      <c r="A156" s="48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6"/>
    </row>
    <row r="157" spans="1:20" ht="16" customHeight="1">
      <c r="A157" s="48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6"/>
    </row>
    <row r="158" spans="1:20" ht="16" customHeight="1">
      <c r="A158" s="48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6"/>
    </row>
    <row r="159" spans="1:20" ht="16" customHeight="1">
      <c r="A159" s="48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6"/>
    </row>
    <row r="160" spans="1:20" ht="16" customHeight="1">
      <c r="A160" s="48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6"/>
    </row>
    <row r="161" spans="1:20" ht="16" customHeight="1">
      <c r="A161" s="48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6"/>
    </row>
    <row r="162" spans="1:20" ht="16" customHeight="1">
      <c r="A162" s="48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6"/>
    </row>
    <row r="163" spans="1:20" ht="16" customHeight="1">
      <c r="A163" s="48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6"/>
    </row>
    <row r="164" spans="1:20" ht="16" customHeight="1">
      <c r="A164" s="48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6"/>
    </row>
    <row r="165" spans="1:20" ht="16" customHeight="1">
      <c r="A165" s="48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6"/>
    </row>
    <row r="166" spans="1:20" ht="16" customHeight="1">
      <c r="A166" s="48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6"/>
    </row>
    <row r="167" spans="1:20" ht="16" customHeight="1">
      <c r="A167" s="48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6"/>
    </row>
    <row r="168" spans="1:20" ht="16" customHeight="1">
      <c r="A168" s="48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6"/>
    </row>
    <row r="169" spans="1:20" ht="16" customHeight="1">
      <c r="A169" s="48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6"/>
    </row>
    <row r="170" spans="1:20" ht="16" customHeight="1">
      <c r="A170" s="48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6"/>
    </row>
    <row r="171" spans="1:20" ht="16" customHeight="1">
      <c r="A171" s="48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6"/>
    </row>
    <row r="172" spans="1:20" ht="16" customHeight="1">
      <c r="A172" s="48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6"/>
    </row>
    <row r="173" spans="1:20" ht="16" customHeight="1">
      <c r="A173" s="48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6"/>
    </row>
    <row r="174" spans="1:20" ht="16" customHeight="1">
      <c r="A174" s="48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6"/>
    </row>
    <row r="175" spans="1:20" ht="16" customHeight="1">
      <c r="A175" s="48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6"/>
    </row>
    <row r="176" spans="1:20" ht="16" customHeight="1">
      <c r="A176" s="48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6"/>
    </row>
    <row r="177" spans="1:20" ht="16" customHeight="1">
      <c r="A177" s="48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6"/>
    </row>
    <row r="178" spans="1:20" ht="16" customHeight="1">
      <c r="A178" s="48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6"/>
    </row>
    <row r="179" spans="1:20" ht="16" customHeight="1">
      <c r="A179" s="48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6"/>
    </row>
    <row r="180" spans="1:20" ht="16" customHeight="1">
      <c r="A180" s="48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6"/>
    </row>
    <row r="181" spans="1:20" ht="16" customHeight="1">
      <c r="A181" s="48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6"/>
    </row>
    <row r="182" spans="1:20" ht="16" customHeight="1">
      <c r="A182" s="48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6"/>
    </row>
    <row r="183" spans="1:20" ht="16" customHeight="1">
      <c r="A183" s="48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6"/>
    </row>
    <row r="184" spans="1:20" ht="16" customHeight="1">
      <c r="A184" s="48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6"/>
    </row>
    <row r="185" spans="1:20" ht="16" customHeight="1">
      <c r="A185" s="48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6"/>
    </row>
    <row r="186" spans="1:20" ht="16" customHeight="1">
      <c r="A186" s="48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6"/>
    </row>
    <row r="187" spans="1:20" ht="16" customHeight="1">
      <c r="A187" s="48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6"/>
    </row>
    <row r="188" spans="1:20" ht="16" customHeight="1">
      <c r="A188" s="48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6"/>
    </row>
    <row r="189" spans="1:20" ht="16" customHeight="1">
      <c r="A189" s="48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6"/>
    </row>
    <row r="190" spans="1:20" ht="16" customHeight="1">
      <c r="A190" s="48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6"/>
    </row>
    <row r="191" spans="1:20" ht="16" customHeight="1">
      <c r="A191" s="48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6"/>
    </row>
    <row r="192" spans="1:20" ht="16" customHeight="1">
      <c r="A192" s="48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6"/>
    </row>
    <row r="193" spans="1:20" ht="16" customHeight="1">
      <c r="A193" s="48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6"/>
    </row>
    <row r="194" spans="1:20" ht="16" customHeight="1">
      <c r="A194" s="48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6"/>
    </row>
    <row r="195" spans="1:20" ht="16" customHeight="1">
      <c r="A195" s="48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6"/>
    </row>
    <row r="196" spans="1:20" ht="16" customHeight="1">
      <c r="A196" s="48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6"/>
    </row>
    <row r="197" spans="1:20" ht="16" customHeight="1">
      <c r="A197" s="48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6"/>
    </row>
    <row r="198" spans="1:20" ht="16" customHeight="1">
      <c r="A198" s="48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6"/>
    </row>
    <row r="199" spans="1:20" ht="16" customHeight="1">
      <c r="A199" s="48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6"/>
    </row>
    <row r="200" spans="1:20" ht="16" customHeight="1">
      <c r="A200" s="48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6"/>
    </row>
    <row r="201" spans="1:20" ht="16" customHeight="1">
      <c r="A201" s="48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6"/>
    </row>
    <row r="202" spans="1:20" ht="16" customHeight="1">
      <c r="A202" s="48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6"/>
    </row>
    <row r="203" spans="1:20" ht="16" customHeight="1">
      <c r="A203" s="48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6"/>
    </row>
    <row r="204" spans="1:20" ht="16" customHeight="1">
      <c r="A204" s="48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6"/>
    </row>
    <row r="205" spans="1:20" ht="16" customHeight="1">
      <c r="A205" s="48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6"/>
    </row>
    <row r="206" spans="1:20" ht="16" customHeight="1">
      <c r="A206" s="48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6"/>
    </row>
    <row r="207" spans="1:20" ht="16" customHeight="1">
      <c r="A207" s="48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6"/>
    </row>
    <row r="208" spans="1:20" ht="16" customHeight="1">
      <c r="A208" s="48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6"/>
    </row>
    <row r="209" spans="1:20" ht="16" customHeight="1">
      <c r="A209" s="48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6"/>
    </row>
    <row r="210" spans="1:20" ht="16" customHeight="1">
      <c r="A210" s="48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6"/>
    </row>
    <row r="211" spans="1:20" ht="16" customHeight="1">
      <c r="A211" s="48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6"/>
    </row>
    <row r="212" spans="1:20" ht="16" customHeight="1">
      <c r="A212" s="48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6"/>
    </row>
    <row r="213" spans="1:20" ht="16" customHeight="1">
      <c r="A213" s="48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6"/>
    </row>
    <row r="214" spans="1:20" ht="16" customHeight="1">
      <c r="A214" s="48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6"/>
    </row>
    <row r="215" spans="1:20" ht="16" customHeight="1">
      <c r="A215" s="48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6"/>
    </row>
    <row r="216" spans="1:20" ht="16" customHeight="1">
      <c r="A216" s="48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6"/>
    </row>
    <row r="217" spans="1:20" ht="16" customHeight="1">
      <c r="A217" s="48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6"/>
    </row>
    <row r="218" spans="1:20" ht="16" customHeight="1">
      <c r="A218" s="48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6"/>
    </row>
    <row r="219" spans="1:20" ht="16" customHeight="1">
      <c r="A219" s="48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6"/>
    </row>
    <row r="220" spans="1:20" ht="16" customHeight="1">
      <c r="A220" s="48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6"/>
    </row>
    <row r="221" spans="1:20" ht="16" customHeight="1">
      <c r="A221" s="48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6"/>
    </row>
    <row r="222" spans="1:20" ht="16" customHeight="1">
      <c r="A222" s="48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6"/>
    </row>
    <row r="223" spans="1:20" ht="16" customHeight="1">
      <c r="A223" s="48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6"/>
    </row>
    <row r="224" spans="1:20" ht="16" customHeight="1">
      <c r="A224" s="48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6"/>
    </row>
    <row r="225" spans="1:20" ht="16" customHeight="1">
      <c r="A225" s="48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6"/>
    </row>
    <row r="226" spans="1:20" ht="16" customHeight="1">
      <c r="A226" s="48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6"/>
    </row>
    <row r="227" spans="1:20" ht="16" customHeight="1">
      <c r="A227" s="48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6"/>
    </row>
    <row r="228" spans="1:20" ht="16" customHeight="1">
      <c r="A228" s="48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6"/>
    </row>
    <row r="229" spans="1:20" ht="16" customHeight="1">
      <c r="A229" s="48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6"/>
    </row>
    <row r="230" spans="1:20" ht="16" customHeight="1">
      <c r="A230" s="48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6"/>
    </row>
    <row r="231" spans="1:20" ht="16" customHeight="1">
      <c r="A231" s="48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6"/>
    </row>
    <row r="232" spans="1:20" ht="16" customHeight="1">
      <c r="A232" s="48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6"/>
    </row>
    <row r="233" spans="1:20" ht="16" customHeight="1">
      <c r="A233" s="48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6"/>
    </row>
    <row r="234" spans="1:20" ht="16" customHeight="1">
      <c r="A234" s="48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6"/>
    </row>
    <row r="235" spans="1:20" ht="16" customHeight="1">
      <c r="A235" s="48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6"/>
    </row>
    <row r="236" spans="1:20" ht="16" customHeight="1">
      <c r="A236" s="48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6"/>
    </row>
    <row r="237" spans="1:20" ht="16" customHeight="1">
      <c r="A237" s="48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6"/>
    </row>
    <row r="238" spans="1:20" ht="16" customHeight="1">
      <c r="A238" s="48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6"/>
    </row>
    <row r="239" spans="1:20" ht="16" customHeight="1">
      <c r="A239" s="48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6"/>
    </row>
    <row r="240" spans="1:20" ht="16" customHeight="1">
      <c r="A240" s="48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6"/>
    </row>
    <row r="241" spans="1:20" ht="16" customHeight="1">
      <c r="A241" s="48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6"/>
    </row>
    <row r="242" spans="1:20" ht="16" customHeight="1">
      <c r="A242" s="52" t="s">
        <v>15</v>
      </c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6"/>
    </row>
    <row r="243" spans="1:20" ht="16" customHeight="1">
      <c r="A243" s="52" t="s">
        <v>16</v>
      </c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6"/>
    </row>
    <row r="244" spans="1:20" ht="16" customHeight="1">
      <c r="A244" s="52" t="s">
        <v>17</v>
      </c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6"/>
    </row>
    <row r="245" spans="1:20" ht="16" customHeight="1">
      <c r="A245" s="53" t="s">
        <v>18</v>
      </c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5"/>
    </row>
  </sheetData>
  <mergeCells count="9">
    <mergeCell ref="B1:C1"/>
    <mergeCell ref="E11:J11"/>
    <mergeCell ref="E16:J16"/>
    <mergeCell ref="E13:J13"/>
    <mergeCell ref="E15:J15"/>
    <mergeCell ref="E12:J12"/>
    <mergeCell ref="E14:J14"/>
    <mergeCell ref="D5:E5"/>
    <mergeCell ref="H3:J7"/>
  </mergeCells>
  <pageMargins left="0.7" right="0.7" top="0.75" bottom="0.75" header="0.3" footer="0.3"/>
  <pageSetup orientation="portrait"/>
  <headerFooter>
    <oddFooter>&amp;C&amp;"Helvetica Neue,Regular"&amp;11&amp;K000000&amp;P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97"/>
  <sheetViews>
    <sheetView showGridLines="0" topLeftCell="A4" workbookViewId="0">
      <selection activeCell="K8" sqref="K8:L14"/>
    </sheetView>
  </sheetViews>
  <sheetFormatPr baseColWidth="10" defaultColWidth="11.1640625" defaultRowHeight="15" customHeight="1"/>
  <cols>
    <col min="1" max="1" width="7" style="1" customWidth="1"/>
    <col min="2" max="2" width="16.1640625" style="1" customWidth="1"/>
    <col min="3" max="3" width="13.83203125" style="1" customWidth="1"/>
    <col min="4" max="5" width="9.1640625" style="1" customWidth="1"/>
    <col min="6" max="6" width="14.5" style="1" customWidth="1"/>
    <col min="7" max="7" width="15.33203125" style="1" customWidth="1"/>
    <col min="8" max="12" width="27.1640625" style="1" customWidth="1"/>
    <col min="13" max="13" width="24.1640625" style="1" customWidth="1"/>
    <col min="14" max="14" width="18.83203125" style="1" customWidth="1"/>
    <col min="15" max="15" width="15" style="1" customWidth="1"/>
    <col min="16" max="256" width="11.1640625" style="1" customWidth="1"/>
  </cols>
  <sheetData>
    <row r="1" spans="1:15" ht="40" customHeight="1">
      <c r="A1" s="56"/>
      <c r="B1" s="57" t="s">
        <v>19</v>
      </c>
      <c r="C1" s="58"/>
      <c r="D1" s="6"/>
      <c r="E1" s="6"/>
      <c r="F1" s="59"/>
      <c r="G1" s="60"/>
      <c r="H1" s="61" t="s">
        <v>20</v>
      </c>
      <c r="I1" s="6"/>
      <c r="J1" s="6"/>
      <c r="K1" s="6"/>
      <c r="L1" s="6"/>
      <c r="M1" s="6"/>
      <c r="N1" s="6"/>
      <c r="O1" s="7"/>
    </row>
    <row r="2" spans="1:15" ht="15.75" customHeight="1">
      <c r="A2" s="48"/>
      <c r="B2" s="62"/>
      <c r="C2" s="62"/>
      <c r="D2" s="15"/>
      <c r="E2" s="15"/>
      <c r="F2" s="63"/>
      <c r="G2" s="64"/>
      <c r="H2" s="65"/>
      <c r="I2" s="65"/>
      <c r="J2" s="65"/>
      <c r="K2" s="65"/>
      <c r="L2" s="65"/>
      <c r="M2" s="15"/>
      <c r="N2" s="15"/>
      <c r="O2" s="16"/>
    </row>
    <row r="3" spans="1:15" ht="28" customHeight="1">
      <c r="A3" s="48"/>
      <c r="B3" s="556" t="str">
        <f>"Summary &amp; P&amp;L "&amp;Introduction!D4</f>
        <v>Summary &amp; P&amp;L Unicorn Inc.</v>
      </c>
      <c r="C3" s="66"/>
      <c r="D3" s="66"/>
      <c r="E3" s="66"/>
      <c r="F3" s="67"/>
      <c r="G3" s="68" t="s">
        <v>21</v>
      </c>
      <c r="H3" s="68" t="s">
        <v>22</v>
      </c>
      <c r="I3" s="68" t="s">
        <v>23</v>
      </c>
      <c r="J3" s="68" t="s">
        <v>24</v>
      </c>
      <c r="K3" s="68" t="s">
        <v>25</v>
      </c>
      <c r="L3" s="69" t="s">
        <v>26</v>
      </c>
      <c r="M3" s="70"/>
      <c r="N3" s="70"/>
      <c r="O3" s="70"/>
    </row>
    <row r="4" spans="1:15" ht="16" customHeight="1">
      <c r="A4" s="48"/>
      <c r="B4" s="71"/>
      <c r="C4" s="71"/>
      <c r="D4" s="71"/>
      <c r="E4" s="71"/>
      <c r="F4" s="72"/>
      <c r="G4" s="73"/>
      <c r="H4" s="73"/>
      <c r="I4" s="73"/>
      <c r="J4" s="73"/>
      <c r="K4" s="74"/>
      <c r="L4" s="517"/>
      <c r="M4" s="15"/>
      <c r="N4" s="15"/>
      <c r="O4" s="16"/>
    </row>
    <row r="5" spans="1:15" ht="20" customHeight="1">
      <c r="A5" s="8"/>
      <c r="B5" s="75" t="s">
        <v>27</v>
      </c>
      <c r="C5" s="76"/>
      <c r="D5" s="77"/>
      <c r="E5" s="78"/>
      <c r="F5" s="79"/>
      <c r="G5" s="68" t="str">
        <f t="shared" ref="G5:G73" si="0">G$3</f>
        <v>Past Year</v>
      </c>
      <c r="H5" s="68" t="s">
        <v>22</v>
      </c>
      <c r="I5" s="68" t="s">
        <v>23</v>
      </c>
      <c r="J5" s="68" t="s">
        <v>24</v>
      </c>
      <c r="K5" s="68" t="s">
        <v>25</v>
      </c>
      <c r="L5" s="68" t="s">
        <v>26</v>
      </c>
      <c r="M5" s="14"/>
      <c r="N5" s="15"/>
      <c r="O5" s="16"/>
    </row>
    <row r="6" spans="1:15" ht="15.75" customHeight="1">
      <c r="A6" s="94"/>
      <c r="B6" s="552"/>
      <c r="C6" s="547"/>
      <c r="D6" s="155"/>
      <c r="E6" s="548"/>
      <c r="F6" s="549"/>
      <c r="G6" s="550"/>
      <c r="H6" s="157"/>
      <c r="I6" s="551"/>
      <c r="J6" s="157"/>
      <c r="K6" s="157"/>
      <c r="L6" s="157"/>
      <c r="M6" s="85"/>
      <c r="N6" s="15"/>
      <c r="O6" s="16"/>
    </row>
    <row r="7" spans="1:15" ht="19" customHeight="1">
      <c r="A7" s="8"/>
      <c r="B7" s="124" t="s">
        <v>28</v>
      </c>
      <c r="C7" s="544"/>
      <c r="D7" s="544"/>
      <c r="E7" s="544"/>
      <c r="F7" s="545"/>
      <c r="G7" s="546"/>
      <c r="H7" s="546"/>
      <c r="I7" s="546"/>
      <c r="J7" s="546"/>
      <c r="K7" s="546"/>
      <c r="L7" s="546"/>
      <c r="M7" s="14"/>
      <c r="N7" s="15"/>
      <c r="O7" s="16"/>
    </row>
    <row r="8" spans="1:15" ht="16" customHeight="1">
      <c r="A8" s="108"/>
      <c r="B8" s="111"/>
      <c r="C8" s="109"/>
      <c r="D8" s="109"/>
      <c r="E8" s="109"/>
      <c r="F8" s="114" t="str">
        <f>Revenue!B5</f>
        <v>Subscriptions</v>
      </c>
      <c r="G8" s="231">
        <v>350000</v>
      </c>
      <c r="H8" s="84">
        <f>Revenue!H51</f>
        <v>972983.4171428571</v>
      </c>
      <c r="I8" s="84">
        <f>Revenue!I51</f>
        <v>1985420.2971428572</v>
      </c>
      <c r="J8" s="84">
        <f>Revenue!J51</f>
        <v>3520691.8971428573</v>
      </c>
      <c r="K8" s="84">
        <f>Revenue!K51</f>
        <v>5956467.0171428565</v>
      </c>
      <c r="L8" s="84">
        <f>Revenue!L51</f>
        <v>9973822.6971428562</v>
      </c>
      <c r="M8" s="14"/>
      <c r="N8" s="15"/>
      <c r="O8" s="16"/>
    </row>
    <row r="9" spans="1:15" ht="16" customHeight="1">
      <c r="A9" s="108"/>
      <c r="B9" s="111"/>
      <c r="C9" s="109"/>
      <c r="D9" s="109"/>
      <c r="E9" s="109"/>
      <c r="F9" s="114" t="str">
        <f>Revenue!B53</f>
        <v>Large Recurring Contracts</v>
      </c>
      <c r="G9" s="231">
        <v>0</v>
      </c>
      <c r="H9" s="84">
        <f>Revenue!H67</f>
        <v>70000</v>
      </c>
      <c r="I9" s="84">
        <f>Revenue!I67</f>
        <v>167999.99999999997</v>
      </c>
      <c r="J9" s="84">
        <f>Revenue!J67</f>
        <v>305199.99999999994</v>
      </c>
      <c r="K9" s="84">
        <f>Revenue!K67</f>
        <v>497279.99999999994</v>
      </c>
      <c r="L9" s="84">
        <f>Revenue!L67</f>
        <v>766191.99999999988</v>
      </c>
      <c r="M9" s="14"/>
      <c r="N9" s="15"/>
      <c r="O9" s="16"/>
    </row>
    <row r="10" spans="1:15" ht="16" customHeight="1">
      <c r="A10" s="108"/>
      <c r="B10" s="111"/>
      <c r="C10" s="109"/>
      <c r="D10" s="109"/>
      <c r="E10" s="109"/>
      <c r="F10" s="114" t="str">
        <f>Revenue!B69</f>
        <v>E-commerce Sales</v>
      </c>
      <c r="G10" s="231">
        <v>0</v>
      </c>
      <c r="H10" s="84">
        <f>Revenue!H98</f>
        <v>0</v>
      </c>
      <c r="I10" s="84">
        <f>Revenue!I98</f>
        <v>0</v>
      </c>
      <c r="J10" s="84">
        <f>Revenue!J98</f>
        <v>0</v>
      </c>
      <c r="K10" s="84">
        <f>Revenue!K98</f>
        <v>0</v>
      </c>
      <c r="L10" s="84">
        <f>Revenue!L98</f>
        <v>0</v>
      </c>
      <c r="M10" s="14"/>
      <c r="N10" s="15"/>
      <c r="O10" s="16"/>
    </row>
    <row r="11" spans="1:15" ht="16" customHeight="1">
      <c r="A11" s="108"/>
      <c r="B11" s="111"/>
      <c r="C11" s="109"/>
      <c r="D11" s="109"/>
      <c r="E11" s="109"/>
      <c r="F11" s="114" t="str">
        <f>Revenue!B100</f>
        <v>Outbound Sales</v>
      </c>
      <c r="G11" s="231">
        <v>0</v>
      </c>
      <c r="H11" s="84">
        <f>Revenue!H121</f>
        <v>0</v>
      </c>
      <c r="I11" s="84">
        <f>Revenue!I121</f>
        <v>0</v>
      </c>
      <c r="J11" s="84">
        <f>Revenue!J121</f>
        <v>0</v>
      </c>
      <c r="K11" s="84">
        <f>Revenue!K121</f>
        <v>0</v>
      </c>
      <c r="L11" s="84">
        <f>Revenue!L121</f>
        <v>0</v>
      </c>
      <c r="M11" s="14"/>
      <c r="N11" s="15"/>
      <c r="O11" s="16"/>
    </row>
    <row r="12" spans="1:15" ht="17" customHeight="1">
      <c r="A12" s="8"/>
      <c r="B12" s="86"/>
      <c r="C12" s="87"/>
      <c r="D12" s="87"/>
      <c r="E12" s="87"/>
      <c r="F12" s="88"/>
      <c r="G12" s="89"/>
      <c r="H12" s="89"/>
      <c r="I12" s="89"/>
      <c r="J12" s="89"/>
      <c r="K12" s="89"/>
      <c r="L12" s="89"/>
      <c r="M12" s="14"/>
      <c r="N12" s="15"/>
      <c r="O12" s="16"/>
    </row>
    <row r="13" spans="1:15" ht="17" customHeight="1">
      <c r="A13" s="8"/>
      <c r="B13" s="90" t="s">
        <v>29</v>
      </c>
      <c r="C13" s="91"/>
      <c r="D13" s="91"/>
      <c r="E13" s="614"/>
      <c r="F13" s="615"/>
      <c r="G13" s="92">
        <f>SUM(G8:G9)</f>
        <v>350000</v>
      </c>
      <c r="H13" s="93">
        <f>Revenue!H123</f>
        <v>1042983.4171428571</v>
      </c>
      <c r="I13" s="93">
        <f>Revenue!I123</f>
        <v>2153420.2971428572</v>
      </c>
      <c r="J13" s="93">
        <f>Revenue!J123</f>
        <v>3825891.8971428573</v>
      </c>
      <c r="K13" s="93">
        <f>Revenue!K123</f>
        <v>6453747.0171428565</v>
      </c>
      <c r="L13" s="93">
        <f>Revenue!L123</f>
        <v>10740014.697142856</v>
      </c>
      <c r="M13" s="14"/>
      <c r="N13" s="15"/>
      <c r="O13" s="16"/>
    </row>
    <row r="14" spans="1:15" ht="15.75" customHeight="1">
      <c r="A14" s="94"/>
      <c r="B14" s="95" t="s">
        <v>30</v>
      </c>
      <c r="C14" s="96"/>
      <c r="D14" s="96"/>
      <c r="E14" s="96"/>
      <c r="F14" s="97"/>
      <c r="G14" s="98"/>
      <c r="H14" s="98">
        <f>IFERROR(H13/G13,"")</f>
        <v>2.979952620408163</v>
      </c>
      <c r="I14" s="98">
        <f>IFERROR(I13/H13,"")</f>
        <v>2.0646735717447213</v>
      </c>
      <c r="J14" s="98">
        <f>IFERROR(J13/I13,"")</f>
        <v>1.7766582316601285</v>
      </c>
      <c r="K14" s="98">
        <f>IFERROR(K13/J13,"")</f>
        <v>1.6868607871441581</v>
      </c>
      <c r="L14" s="99">
        <f>IFERROR(L13/K13,"")</f>
        <v>1.6641517971830226</v>
      </c>
      <c r="M14" s="100"/>
      <c r="N14" s="15"/>
      <c r="O14" s="16"/>
    </row>
    <row r="15" spans="1:15" ht="15" customHeight="1">
      <c r="A15" s="94"/>
      <c r="B15" s="113"/>
      <c r="C15" s="102"/>
      <c r="D15" s="15"/>
      <c r="E15" s="103"/>
      <c r="F15" s="104"/>
      <c r="G15" s="105"/>
      <c r="H15" s="106"/>
      <c r="I15" s="107"/>
      <c r="J15" s="106"/>
      <c r="K15" s="106"/>
      <c r="L15" s="106"/>
      <c r="M15" s="85"/>
      <c r="N15" s="15"/>
      <c r="O15" s="16"/>
    </row>
    <row r="16" spans="1:15" ht="19" customHeight="1">
      <c r="A16" s="108"/>
      <c r="B16" s="124" t="s">
        <v>260</v>
      </c>
      <c r="C16" s="109"/>
      <c r="D16" s="109"/>
      <c r="E16" s="109"/>
      <c r="F16" s="110"/>
      <c r="G16" s="105"/>
      <c r="H16" s="105"/>
      <c r="I16" s="105"/>
      <c r="J16" s="105"/>
      <c r="K16" s="105"/>
      <c r="L16" s="105"/>
      <c r="M16" s="14"/>
      <c r="N16" s="102"/>
      <c r="O16" s="16"/>
    </row>
    <row r="17" spans="1:15" ht="16" customHeight="1">
      <c r="A17" s="108"/>
      <c r="B17" s="111"/>
      <c r="C17" s="109"/>
      <c r="D17" s="109"/>
      <c r="E17" s="109"/>
      <c r="F17" s="114" t="str">
        <f>Costs!B133</f>
        <v>Variable costs</v>
      </c>
      <c r="G17" s="231">
        <v>50000</v>
      </c>
      <c r="H17" s="84">
        <f>Costs!H16</f>
        <v>65000</v>
      </c>
      <c r="I17" s="84">
        <f>Costs!I16</f>
        <v>71500</v>
      </c>
      <c r="J17" s="84">
        <f>Costs!J16</f>
        <v>78650</v>
      </c>
      <c r="K17" s="84">
        <f>Costs!K16</f>
        <v>86515</v>
      </c>
      <c r="L17" s="84">
        <f>Costs!L16</f>
        <v>95166.500000000015</v>
      </c>
      <c r="M17" s="14"/>
      <c r="N17" s="15"/>
      <c r="O17" s="16"/>
    </row>
    <row r="18" spans="1:15" ht="17" customHeight="1">
      <c r="A18" s="108"/>
      <c r="B18" s="101"/>
      <c r="C18" s="115"/>
      <c r="D18" s="116"/>
      <c r="E18" s="117"/>
      <c r="F18" s="118"/>
      <c r="G18" s="119"/>
      <c r="H18" s="120"/>
      <c r="I18" s="120"/>
      <c r="J18" s="120"/>
      <c r="K18" s="119"/>
      <c r="L18" s="119"/>
      <c r="M18" s="14"/>
      <c r="N18" s="15"/>
      <c r="O18" s="16"/>
    </row>
    <row r="19" spans="1:15" ht="15.75" customHeight="1">
      <c r="A19" s="94"/>
      <c r="B19" s="90" t="str">
        <f>"Total "&amp;B16</f>
        <v>Total Cost of goods sold</v>
      </c>
      <c r="C19" s="91"/>
      <c r="D19" s="91"/>
      <c r="E19" s="614"/>
      <c r="F19" s="615"/>
      <c r="G19" s="92">
        <f t="shared" ref="G19:L19" si="1">SUM(G17:G17)</f>
        <v>50000</v>
      </c>
      <c r="H19" s="121">
        <f t="shared" si="1"/>
        <v>65000</v>
      </c>
      <c r="I19" s="121">
        <f t="shared" si="1"/>
        <v>71500</v>
      </c>
      <c r="J19" s="121">
        <f t="shared" si="1"/>
        <v>78650</v>
      </c>
      <c r="K19" s="93">
        <f t="shared" si="1"/>
        <v>86515</v>
      </c>
      <c r="L19" s="93">
        <f t="shared" si="1"/>
        <v>95166.500000000015</v>
      </c>
      <c r="M19" s="14"/>
      <c r="N19" s="15"/>
      <c r="O19" s="16"/>
    </row>
    <row r="20" spans="1:15" ht="15.75" customHeight="1">
      <c r="A20" s="94"/>
      <c r="B20" s="95" t="s">
        <v>32</v>
      </c>
      <c r="C20" s="96"/>
      <c r="D20" s="96"/>
      <c r="E20" s="96"/>
      <c r="F20" s="97"/>
      <c r="G20" s="98"/>
      <c r="H20" s="98">
        <f>H19/H$13</f>
        <v>6.2321220962516001E-2</v>
      </c>
      <c r="I20" s="98">
        <f>I19/I$13</f>
        <v>3.3202993440187081E-2</v>
      </c>
      <c r="J20" s="98">
        <f>J19/J$13</f>
        <v>2.0557298040421668E-2</v>
      </c>
      <c r="K20" s="98">
        <f>K19/K$13</f>
        <v>1.3405390662229757E-2</v>
      </c>
      <c r="L20" s="99">
        <f>L19/L$13</f>
        <v>8.8609282839544872E-3</v>
      </c>
      <c r="M20" s="518"/>
      <c r="N20" s="15"/>
      <c r="O20" s="16"/>
    </row>
    <row r="21" spans="1:15" ht="16.5" customHeight="1">
      <c r="A21" s="108"/>
      <c r="B21" s="81"/>
      <c r="C21" s="82"/>
      <c r="D21" s="82"/>
      <c r="E21" s="82"/>
      <c r="F21" s="122"/>
      <c r="G21" s="123"/>
      <c r="H21" s="123"/>
      <c r="I21" s="123"/>
      <c r="J21" s="123"/>
      <c r="K21" s="123"/>
      <c r="L21" s="123"/>
      <c r="M21" s="14"/>
      <c r="N21" s="15"/>
      <c r="O21" s="16"/>
    </row>
    <row r="22" spans="1:15" ht="19" customHeight="1">
      <c r="A22" s="108"/>
      <c r="B22" s="124" t="s">
        <v>31</v>
      </c>
      <c r="C22" s="109"/>
      <c r="D22" s="109"/>
      <c r="E22" s="109"/>
      <c r="F22" s="110"/>
      <c r="G22" s="105"/>
      <c r="H22" s="105"/>
      <c r="I22" s="105"/>
      <c r="J22" s="105"/>
      <c r="K22" s="105"/>
      <c r="L22" s="105"/>
      <c r="M22" s="14"/>
      <c r="N22" s="102"/>
      <c r="O22" s="16"/>
    </row>
    <row r="23" spans="1:15" ht="16" customHeight="1">
      <c r="A23" s="108"/>
      <c r="B23" s="111"/>
      <c r="C23" s="109"/>
      <c r="D23" s="109"/>
      <c r="E23" s="109"/>
      <c r="F23" s="114" t="str">
        <f>Costs!B7</f>
        <v>Executives</v>
      </c>
      <c r="G23" s="231">
        <v>80000</v>
      </c>
      <c r="H23" s="84">
        <f>Costs!H29</f>
        <v>195000</v>
      </c>
      <c r="I23" s="84">
        <f>Costs!I29</f>
        <v>214500</v>
      </c>
      <c r="J23" s="84">
        <f>Costs!J29</f>
        <v>235950</v>
      </c>
      <c r="K23" s="84">
        <f>Costs!K29</f>
        <v>259545.00000000003</v>
      </c>
      <c r="L23" s="84">
        <f>Costs!L29</f>
        <v>285499.50000000006</v>
      </c>
      <c r="M23" s="14"/>
      <c r="N23" s="15"/>
      <c r="O23" s="16"/>
    </row>
    <row r="24" spans="1:15" ht="19" customHeight="1">
      <c r="A24" s="108"/>
      <c r="B24" s="113"/>
      <c r="C24" s="102"/>
      <c r="D24" s="15"/>
      <c r="E24" s="103"/>
      <c r="F24" s="114" t="str">
        <f>Costs!B32</f>
        <v>Management</v>
      </c>
      <c r="G24" s="231">
        <v>0</v>
      </c>
      <c r="H24" s="84">
        <f>Costs!H41</f>
        <v>0</v>
      </c>
      <c r="I24" s="84">
        <f>Costs!I41</f>
        <v>0</v>
      </c>
      <c r="J24" s="84">
        <f>Costs!J41</f>
        <v>0</v>
      </c>
      <c r="K24" s="84">
        <f>Costs!K41</f>
        <v>53060.399999999994</v>
      </c>
      <c r="L24" s="84">
        <f>Costs!L41</f>
        <v>162364.82399999999</v>
      </c>
      <c r="M24" s="14"/>
      <c r="N24" s="15"/>
      <c r="O24" s="16"/>
    </row>
    <row r="25" spans="1:15" ht="19" customHeight="1">
      <c r="A25" s="108"/>
      <c r="B25" s="113"/>
      <c r="C25" s="102"/>
      <c r="D25" s="15"/>
      <c r="E25" s="103"/>
      <c r="F25" s="114" t="str">
        <f>Costs!B44</f>
        <v>Technology development</v>
      </c>
      <c r="G25" s="231">
        <v>300000</v>
      </c>
      <c r="H25" s="84">
        <f>Costs!H62</f>
        <v>720000</v>
      </c>
      <c r="I25" s="84">
        <f>Costs!I62</f>
        <v>820300</v>
      </c>
      <c r="J25" s="84">
        <f>Costs!J62</f>
        <v>977160</v>
      </c>
      <c r="K25" s="84">
        <f>Costs!K62</f>
        <v>1139966.28</v>
      </c>
      <c r="L25" s="84">
        <f>Costs!L62</f>
        <v>1893407.3136</v>
      </c>
      <c r="M25" s="14"/>
      <c r="N25" s="15"/>
      <c r="O25" s="16"/>
    </row>
    <row r="26" spans="1:15" ht="19" customHeight="1">
      <c r="A26" s="108"/>
      <c r="B26" s="113"/>
      <c r="C26" s="102"/>
      <c r="D26" s="15"/>
      <c r="E26" s="103"/>
      <c r="F26" s="114" t="str">
        <f>Costs!B65</f>
        <v>Sales and marketing</v>
      </c>
      <c r="G26" s="231">
        <v>30000</v>
      </c>
      <c r="H26" s="84">
        <f>Costs!H83</f>
        <v>320000</v>
      </c>
      <c r="I26" s="84">
        <f>Costs!I83</f>
        <v>440000.00000000006</v>
      </c>
      <c r="J26" s="84">
        <f>Costs!J83</f>
        <v>629200.00000000012</v>
      </c>
      <c r="K26" s="84">
        <f>Costs!K83</f>
        <v>798600.00000000023</v>
      </c>
      <c r="L26" s="84">
        <f>Costs!L83</f>
        <v>1464100.0000000005</v>
      </c>
      <c r="M26" s="14"/>
      <c r="N26" s="15"/>
      <c r="O26" s="16"/>
    </row>
    <row r="27" spans="1:15" ht="19" customHeight="1">
      <c r="A27" s="108"/>
      <c r="B27" s="113"/>
      <c r="C27" s="102"/>
      <c r="D27" s="15"/>
      <c r="E27" s="103"/>
      <c r="F27" s="83" t="str">
        <f>Costs!B86</f>
        <v>Operations and customer support</v>
      </c>
      <c r="G27" s="231">
        <v>0</v>
      </c>
      <c r="H27" s="84">
        <f>Costs!H106</f>
        <v>40000</v>
      </c>
      <c r="I27" s="84">
        <f>Costs!I106</f>
        <v>122400</v>
      </c>
      <c r="J27" s="84">
        <f>Costs!J106</f>
        <v>208080</v>
      </c>
      <c r="K27" s="84">
        <f>Costs!K106</f>
        <v>339586.56</v>
      </c>
      <c r="L27" s="84">
        <f>Costs!L106</f>
        <v>562864.72320000001</v>
      </c>
      <c r="M27" s="14"/>
      <c r="N27" s="102"/>
      <c r="O27" s="16"/>
    </row>
    <row r="28" spans="1:15" ht="19" customHeight="1">
      <c r="A28" s="108"/>
      <c r="B28" s="113"/>
      <c r="C28" s="102"/>
      <c r="D28" s="15"/>
      <c r="E28" s="103"/>
      <c r="F28" s="83" t="str">
        <f>Costs!B109</f>
        <v>Finance and administration</v>
      </c>
      <c r="G28" s="231">
        <v>0</v>
      </c>
      <c r="H28" s="84">
        <f>Costs!H118</f>
        <v>40000</v>
      </c>
      <c r="I28" s="84">
        <f>Costs!I118</f>
        <v>88000</v>
      </c>
      <c r="J28" s="84">
        <f>Costs!J118</f>
        <v>145200.00000000003</v>
      </c>
      <c r="K28" s="84">
        <f>Costs!K118</f>
        <v>266200.00000000006</v>
      </c>
      <c r="L28" s="84">
        <f>Costs!L118</f>
        <v>527076.00000000012</v>
      </c>
      <c r="M28" s="14"/>
      <c r="N28" s="15"/>
      <c r="O28" s="16"/>
    </row>
    <row r="29" spans="1:15" ht="19" customHeight="1">
      <c r="A29" s="108"/>
      <c r="B29" s="113"/>
      <c r="C29" s="102"/>
      <c r="D29" s="15"/>
      <c r="E29" s="103"/>
      <c r="F29" s="104"/>
      <c r="G29" s="112"/>
      <c r="H29" s="84"/>
      <c r="I29" s="84"/>
      <c r="J29" s="84"/>
      <c r="K29" s="84"/>
      <c r="L29" s="84"/>
      <c r="M29" s="14"/>
      <c r="N29" s="15"/>
      <c r="O29" s="16"/>
    </row>
    <row r="30" spans="1:15" ht="19" customHeight="1">
      <c r="A30" s="108"/>
      <c r="B30" s="113"/>
      <c r="C30" s="102"/>
      <c r="D30" s="15"/>
      <c r="E30" s="103"/>
      <c r="F30" s="83" t="str">
        <f>Costs!B125</f>
        <v>Other personnel expenses</v>
      </c>
      <c r="G30" s="231">
        <v>12000</v>
      </c>
      <c r="H30" s="84">
        <f>Costs!H127</f>
        <v>39844.5</v>
      </c>
      <c r="I30" s="84">
        <f>Costs!I127</f>
        <v>51061.56</v>
      </c>
      <c r="J30" s="84">
        <f>Costs!J127</f>
        <v>66526.376999999993</v>
      </c>
      <c r="K30" s="84">
        <f>Costs!K127</f>
        <v>86565.834672000012</v>
      </c>
      <c r="L30" s="84">
        <f>Costs!L127</f>
        <v>148327.96453224</v>
      </c>
      <c r="M30" s="14"/>
      <c r="N30" s="15"/>
      <c r="O30" s="16"/>
    </row>
    <row r="31" spans="1:15" ht="17" customHeight="1">
      <c r="A31" s="108"/>
      <c r="B31" s="101"/>
      <c r="C31" s="115"/>
      <c r="D31" s="116"/>
      <c r="E31" s="117"/>
      <c r="F31" s="118"/>
      <c r="G31" s="119"/>
      <c r="H31" s="120"/>
      <c r="I31" s="120"/>
      <c r="J31" s="120"/>
      <c r="K31" s="119"/>
      <c r="L31" s="119"/>
      <c r="M31" s="14"/>
      <c r="N31" s="15"/>
      <c r="O31" s="16"/>
    </row>
    <row r="32" spans="1:15" ht="15.75" customHeight="1">
      <c r="A32" s="94"/>
      <c r="B32" s="90" t="str">
        <f>"Total "&amp;B22</f>
        <v>Total Wage and Related</v>
      </c>
      <c r="C32" s="91"/>
      <c r="D32" s="91"/>
      <c r="E32" s="614"/>
      <c r="F32" s="615"/>
      <c r="G32" s="92">
        <f t="shared" ref="G32:L32" si="2">SUM(G23:G30)</f>
        <v>422000</v>
      </c>
      <c r="H32" s="121">
        <f t="shared" si="2"/>
        <v>1354844.5</v>
      </c>
      <c r="I32" s="121">
        <f t="shared" si="2"/>
        <v>1736261.56</v>
      </c>
      <c r="J32" s="121">
        <f t="shared" si="2"/>
        <v>2262116.3769999999</v>
      </c>
      <c r="K32" s="93">
        <f t="shared" si="2"/>
        <v>2943524.0746720005</v>
      </c>
      <c r="L32" s="93">
        <f t="shared" si="2"/>
        <v>5043640.3253322411</v>
      </c>
      <c r="M32" s="14"/>
      <c r="N32" s="15"/>
      <c r="O32" s="16"/>
    </row>
    <row r="33" spans="1:15" ht="15.75" customHeight="1">
      <c r="A33" s="94"/>
      <c r="B33" s="95" t="s">
        <v>32</v>
      </c>
      <c r="C33" s="96"/>
      <c r="D33" s="96"/>
      <c r="E33" s="96"/>
      <c r="F33" s="97"/>
      <c r="G33" s="98"/>
      <c r="H33" s="98">
        <f>H32/H$13</f>
        <v>1.2990086685284541</v>
      </c>
      <c r="I33" s="98">
        <f>I32/I$13</f>
        <v>0.80628085576404174</v>
      </c>
      <c r="J33" s="98">
        <f>J32/J$13</f>
        <v>0.59126510571020807</v>
      </c>
      <c r="K33" s="98">
        <f>K32/K$13</f>
        <v>0.4560953608583081</v>
      </c>
      <c r="L33" s="99">
        <f>L32/L$13</f>
        <v>0.46961205059374733</v>
      </c>
      <c r="M33" s="518"/>
      <c r="N33" s="15"/>
      <c r="O33" s="16"/>
    </row>
    <row r="34" spans="1:15" ht="16.5" customHeight="1">
      <c r="A34" s="108"/>
      <c r="B34" s="81"/>
      <c r="C34" s="82"/>
      <c r="D34" s="82"/>
      <c r="E34" s="82"/>
      <c r="F34" s="122"/>
      <c r="G34" s="123"/>
      <c r="H34" s="123"/>
      <c r="I34" s="123"/>
      <c r="J34" s="123"/>
      <c r="K34" s="123"/>
      <c r="L34" s="123"/>
      <c r="M34" s="14"/>
      <c r="N34" s="15"/>
      <c r="O34" s="16"/>
    </row>
    <row r="35" spans="1:15" ht="16.5" customHeight="1">
      <c r="A35" s="108"/>
      <c r="B35" s="124" t="s">
        <v>261</v>
      </c>
      <c r="C35" s="82"/>
      <c r="D35" s="82"/>
      <c r="E35" s="82"/>
      <c r="F35" s="122"/>
      <c r="G35" s="123"/>
      <c r="H35" s="123"/>
      <c r="I35" s="123"/>
      <c r="J35" s="123"/>
      <c r="K35" s="123"/>
      <c r="L35" s="123"/>
      <c r="M35" s="14"/>
      <c r="N35" s="15"/>
      <c r="O35" s="16"/>
    </row>
    <row r="36" spans="1:15" ht="16.5" customHeight="1">
      <c r="A36" s="108"/>
      <c r="B36" s="81"/>
      <c r="C36" s="82"/>
      <c r="D36" s="82"/>
      <c r="E36" s="82"/>
      <c r="F36" s="83" t="str">
        <f>Costs!B146</f>
        <v>Advertising and promotion</v>
      </c>
      <c r="G36" s="112">
        <f>Revenue!D10</f>
        <v>100000</v>
      </c>
      <c r="H36" s="84">
        <f>Costs!H154</f>
        <v>191719.33668571428</v>
      </c>
      <c r="I36" s="84">
        <f>Costs!I154</f>
        <v>356136.8118857143</v>
      </c>
      <c r="J36" s="84">
        <f>Costs!J154</f>
        <v>639035.67588571436</v>
      </c>
      <c r="K36" s="84">
        <f>Costs!K154</f>
        <v>1132949.8806857143</v>
      </c>
      <c r="L36" s="84">
        <f>Costs!L154</f>
        <v>2004240.5878857141</v>
      </c>
      <c r="M36" s="85"/>
      <c r="N36" s="15"/>
      <c r="O36" s="16"/>
    </row>
    <row r="37" spans="1:15" ht="16.5" customHeight="1">
      <c r="A37" s="108"/>
      <c r="B37" s="81"/>
      <c r="C37" s="82"/>
      <c r="D37" s="82"/>
      <c r="E37" s="82"/>
      <c r="F37" s="83" t="str">
        <f>Costs!B157</f>
        <v>Technology platform</v>
      </c>
      <c r="G37" s="112">
        <f>Costs!D159</f>
        <v>24000</v>
      </c>
      <c r="H37" s="84">
        <f>Costs!H171</f>
        <v>161216.008</v>
      </c>
      <c r="I37" s="84">
        <f>Costs!I171</f>
        <v>190784.166</v>
      </c>
      <c r="J37" s="84">
        <f>Costs!J171</f>
        <v>240740.3358</v>
      </c>
      <c r="K37" s="84">
        <f>Costs!K171</f>
        <v>303234.65836</v>
      </c>
      <c r="L37" s="84">
        <f>Costs!L171</f>
        <v>514527.37384000001</v>
      </c>
      <c r="M37" s="14"/>
      <c r="N37" s="15"/>
      <c r="O37" s="16"/>
    </row>
    <row r="38" spans="1:15" ht="16.5" customHeight="1">
      <c r="A38" s="108"/>
      <c r="B38" s="81"/>
      <c r="C38" s="82"/>
      <c r="D38" s="82"/>
      <c r="E38" s="82"/>
      <c r="F38" s="83" t="str">
        <f>Costs!B174</f>
        <v>Banking and insurance</v>
      </c>
      <c r="G38" s="231">
        <v>1000</v>
      </c>
      <c r="H38" s="84">
        <f>Costs!H182</f>
        <v>26778.883770285716</v>
      </c>
      <c r="I38" s="84">
        <f>Costs!I182</f>
        <v>54650.849458285724</v>
      </c>
      <c r="J38" s="84">
        <f>Costs!J182</f>
        <v>96629.886618285731</v>
      </c>
      <c r="K38" s="84">
        <f>Costs!K182</f>
        <v>162589.0501302857</v>
      </c>
      <c r="L38" s="84">
        <f>Costs!L182</f>
        <v>270174.36889828567</v>
      </c>
      <c r="M38" s="14"/>
      <c r="N38" s="15"/>
      <c r="O38" s="16"/>
    </row>
    <row r="39" spans="1:15" ht="16.5" customHeight="1">
      <c r="A39" s="108"/>
      <c r="B39" s="81"/>
      <c r="C39" s="82"/>
      <c r="D39" s="82"/>
      <c r="E39" s="82"/>
      <c r="F39" s="83" t="str">
        <f>Costs!B185</f>
        <v>Professional services</v>
      </c>
      <c r="G39" s="231">
        <v>1000</v>
      </c>
      <c r="H39" s="84">
        <f>Costs!H194</f>
        <v>61722.320102857142</v>
      </c>
      <c r="I39" s="84">
        <f>Costs!I194</f>
        <v>108930.23218285714</v>
      </c>
      <c r="J39" s="84">
        <f>Costs!J194</f>
        <v>179661.56778285716</v>
      </c>
      <c r="K39" s="84">
        <f>Costs!K194</f>
        <v>290043.62770285713</v>
      </c>
      <c r="L39" s="84">
        <f>Costs!L194</f>
        <v>474420.60258285713</v>
      </c>
      <c r="M39" s="14"/>
      <c r="N39" s="15"/>
      <c r="O39" s="16"/>
    </row>
    <row r="40" spans="1:15" ht="16.5" customHeight="1">
      <c r="A40" s="108"/>
      <c r="B40" s="81"/>
      <c r="C40" s="82"/>
      <c r="D40" s="82"/>
      <c r="E40" s="82"/>
      <c r="F40" s="83" t="str">
        <f>Costs!B197</f>
        <v>Facilities and infrastructure</v>
      </c>
      <c r="G40" s="112">
        <f>Costs!D199+Costs!D203</f>
        <v>16000</v>
      </c>
      <c r="H40" s="84">
        <f>Costs!H206</f>
        <v>16120</v>
      </c>
      <c r="I40" s="84">
        <f>Costs!I206</f>
        <v>28241.010000000002</v>
      </c>
      <c r="J40" s="84">
        <f>Costs!J206</f>
        <v>28484.420000000002</v>
      </c>
      <c r="K40" s="84">
        <f>Costs!K206</f>
        <v>28730.254000000001</v>
      </c>
      <c r="L40" s="84">
        <f>Costs!L206</f>
        <v>28978.536240000005</v>
      </c>
      <c r="M40" s="14"/>
      <c r="N40" s="15"/>
      <c r="O40" s="16"/>
    </row>
    <row r="41" spans="1:15" ht="16.5" customHeight="1">
      <c r="A41" s="108"/>
      <c r="B41" s="81"/>
      <c r="C41" s="82"/>
      <c r="D41" s="82"/>
      <c r="E41" s="82"/>
      <c r="F41" s="83" t="str">
        <f>Costs!B209</f>
        <v>General and administrative</v>
      </c>
      <c r="G41" s="112">
        <f>Costs!D214</f>
        <v>2500</v>
      </c>
      <c r="H41" s="84">
        <f>Costs!H225</f>
        <v>73659.668342857141</v>
      </c>
      <c r="I41" s="84">
        <f>Costs!I225</f>
        <v>104268.40594285715</v>
      </c>
      <c r="J41" s="84">
        <f>Costs!J225</f>
        <v>148517.83794285715</v>
      </c>
      <c r="K41" s="84">
        <f>Costs!K225</f>
        <v>214274.94034285715</v>
      </c>
      <c r="L41" s="84">
        <f>Costs!L225</f>
        <v>343200.29394285713</v>
      </c>
      <c r="M41" s="14"/>
      <c r="N41" s="15"/>
      <c r="O41" s="16"/>
    </row>
    <row r="42" spans="1:15" ht="16.5" customHeight="1">
      <c r="A42" s="108"/>
      <c r="B42" s="86"/>
      <c r="C42" s="87"/>
      <c r="D42" s="87"/>
      <c r="E42" s="87"/>
      <c r="F42" s="125"/>
      <c r="G42" s="89"/>
      <c r="H42" s="89"/>
      <c r="I42" s="89"/>
      <c r="J42" s="89"/>
      <c r="K42" s="89"/>
      <c r="L42" s="89"/>
      <c r="M42" s="14"/>
      <c r="N42" s="15"/>
      <c r="O42" s="16"/>
    </row>
    <row r="43" spans="1:15" ht="15.75" customHeight="1">
      <c r="A43" s="94"/>
      <c r="B43" s="90" t="str">
        <f>"Total "&amp;B35</f>
        <v>Total SG&amp;A and others</v>
      </c>
      <c r="C43" s="91"/>
      <c r="D43" s="91"/>
      <c r="E43" s="614"/>
      <c r="F43" s="618"/>
      <c r="G43" s="126">
        <f>SUM(G36:G41)</f>
        <v>144500</v>
      </c>
      <c r="H43" s="93">
        <f>SUM(H36:H41)</f>
        <v>531216.21690171422</v>
      </c>
      <c r="I43" s="93">
        <f t="shared" ref="I43:L43" si="3">SUM(I36:I41)</f>
        <v>843011.47546971426</v>
      </c>
      <c r="J43" s="93">
        <f t="shared" si="3"/>
        <v>1333069.7240297142</v>
      </c>
      <c r="K43" s="93">
        <f t="shared" si="3"/>
        <v>2131822.4112217142</v>
      </c>
      <c r="L43" s="93">
        <f t="shared" si="3"/>
        <v>3635541.7633897136</v>
      </c>
      <c r="M43" s="14"/>
      <c r="N43" s="15"/>
      <c r="O43" s="16"/>
    </row>
    <row r="44" spans="1:15" ht="15.75" customHeight="1">
      <c r="A44" s="94"/>
      <c r="B44" s="95" t="s">
        <v>32</v>
      </c>
      <c r="C44" s="96"/>
      <c r="D44" s="96"/>
      <c r="E44" s="96"/>
      <c r="F44" s="97"/>
      <c r="G44" s="98"/>
      <c r="H44" s="98">
        <f>H43/H$13</f>
        <v>0.50932374203697783</v>
      </c>
      <c r="I44" s="98">
        <f>I43/I$13</f>
        <v>0.39147558727305393</v>
      </c>
      <c r="J44" s="98">
        <f>J43/J$13</f>
        <v>0.34843371424719005</v>
      </c>
      <c r="K44" s="98">
        <f>K43/K$13</f>
        <v>0.3303232068996555</v>
      </c>
      <c r="L44" s="98">
        <f>L43/L$13</f>
        <v>0.33850435645650179</v>
      </c>
      <c r="M44" s="85"/>
      <c r="N44" s="15"/>
      <c r="O44" s="16"/>
    </row>
    <row r="45" spans="1:15" ht="16.5" customHeight="1">
      <c r="A45" s="108"/>
      <c r="B45" s="86"/>
      <c r="C45" s="87"/>
      <c r="D45" s="87"/>
      <c r="E45" s="87"/>
      <c r="F45" s="88"/>
      <c r="G45" s="127"/>
      <c r="H45" s="127"/>
      <c r="I45" s="127"/>
      <c r="J45" s="127"/>
      <c r="K45" s="127"/>
      <c r="L45" s="127"/>
      <c r="M45" s="14"/>
      <c r="N45" s="15"/>
      <c r="O45" s="16"/>
    </row>
    <row r="46" spans="1:15" ht="15.75" customHeight="1">
      <c r="A46" s="94"/>
      <c r="B46" s="90" t="s">
        <v>33</v>
      </c>
      <c r="C46" s="91"/>
      <c r="D46" s="91"/>
      <c r="E46" s="614"/>
      <c r="F46" s="618"/>
      <c r="G46" s="126">
        <f t="shared" ref="G46:L46" si="4">G13-G32-G43</f>
        <v>-216500</v>
      </c>
      <c r="H46" s="93">
        <f t="shared" si="4"/>
        <v>-843077.29975885712</v>
      </c>
      <c r="I46" s="93">
        <f t="shared" si="4"/>
        <v>-425852.7383268571</v>
      </c>
      <c r="J46" s="93">
        <f t="shared" si="4"/>
        <v>230705.79611314321</v>
      </c>
      <c r="K46" s="93">
        <f t="shared" si="4"/>
        <v>1378400.5312491418</v>
      </c>
      <c r="L46" s="93">
        <f t="shared" si="4"/>
        <v>2060832.6084209015</v>
      </c>
      <c r="M46" s="14"/>
      <c r="N46" s="15"/>
      <c r="O46" s="16"/>
    </row>
    <row r="47" spans="1:15" ht="15.75" customHeight="1">
      <c r="A47" s="94"/>
      <c r="B47" s="95" t="s">
        <v>32</v>
      </c>
      <c r="C47" s="96"/>
      <c r="D47" s="96"/>
      <c r="E47" s="96"/>
      <c r="F47" s="97"/>
      <c r="G47" s="98"/>
      <c r="H47" s="98">
        <f>H46/H$13</f>
        <v>-0.80833241056543192</v>
      </c>
      <c r="I47" s="98">
        <f>I46/I$13</f>
        <v>-0.19775644303709569</v>
      </c>
      <c r="J47" s="98">
        <f>J46/J$13</f>
        <v>6.0301180042601904E-2</v>
      </c>
      <c r="K47" s="98">
        <f>K46/K$13</f>
        <v>0.21358143224203643</v>
      </c>
      <c r="L47" s="98">
        <f>L46/L$13</f>
        <v>0.19188359294975085</v>
      </c>
      <c r="M47" s="14"/>
      <c r="N47" s="15"/>
      <c r="O47" s="16"/>
    </row>
    <row r="48" spans="1:15" ht="16.5" customHeight="1">
      <c r="A48" s="108"/>
      <c r="B48" s="81"/>
      <c r="C48" s="82"/>
      <c r="D48" s="82"/>
      <c r="E48" s="82"/>
      <c r="F48" s="122"/>
      <c r="G48" s="128"/>
      <c r="H48" s="128"/>
      <c r="I48" s="128"/>
      <c r="J48" s="128"/>
      <c r="K48" s="128"/>
      <c r="L48" s="128"/>
      <c r="M48" s="14"/>
      <c r="N48" s="15"/>
      <c r="O48" s="16"/>
    </row>
    <row r="49" spans="1:15" ht="16.5" customHeight="1">
      <c r="A49" s="108"/>
      <c r="B49" s="124" t="s">
        <v>34</v>
      </c>
      <c r="C49" s="82"/>
      <c r="D49" s="82"/>
      <c r="E49" s="82"/>
      <c r="F49" s="122"/>
      <c r="G49" s="128"/>
      <c r="H49" s="128"/>
      <c r="I49" s="128"/>
      <c r="J49" s="128"/>
      <c r="K49" s="128"/>
      <c r="L49" s="128"/>
      <c r="M49" s="14"/>
      <c r="N49" s="15"/>
      <c r="O49" s="16"/>
    </row>
    <row r="50" spans="1:15" ht="17" customHeight="1">
      <c r="A50" s="108"/>
      <c r="B50" s="129"/>
      <c r="C50" s="130"/>
      <c r="D50" s="130"/>
      <c r="E50" s="130"/>
      <c r="F50" s="131" t="s">
        <v>34</v>
      </c>
      <c r="G50" s="231">
        <v>1000</v>
      </c>
      <c r="H50" s="132">
        <f>Costs!H236+Costs!H237</f>
        <v>4000</v>
      </c>
      <c r="I50" s="132">
        <f>Costs!I236+Costs!I237</f>
        <v>4000</v>
      </c>
      <c r="J50" s="132">
        <f>Costs!J236+Costs!J237</f>
        <v>4000</v>
      </c>
      <c r="K50" s="132">
        <f>Costs!K236+Costs!K237</f>
        <v>4000</v>
      </c>
      <c r="L50" s="132">
        <f>Costs!L236+Costs!L237</f>
        <v>4000</v>
      </c>
      <c r="M50" s="14"/>
      <c r="N50" s="15"/>
      <c r="O50" s="16"/>
    </row>
    <row r="51" spans="1:15" ht="16" customHeight="1">
      <c r="A51" s="133"/>
      <c r="B51" s="134" t="str">
        <f>"Total "&amp;B49</f>
        <v>Total D&amp;A</v>
      </c>
      <c r="C51" s="135"/>
      <c r="D51" s="135"/>
      <c r="E51" s="135"/>
      <c r="F51" s="136"/>
      <c r="G51" s="137">
        <f t="shared" ref="G51:L51" si="5">-G50</f>
        <v>-1000</v>
      </c>
      <c r="H51" s="137">
        <f t="shared" si="5"/>
        <v>-4000</v>
      </c>
      <c r="I51" s="137">
        <f t="shared" si="5"/>
        <v>-4000</v>
      </c>
      <c r="J51" s="137">
        <f t="shared" si="5"/>
        <v>-4000</v>
      </c>
      <c r="K51" s="137">
        <f t="shared" si="5"/>
        <v>-4000</v>
      </c>
      <c r="L51" s="137">
        <f t="shared" si="5"/>
        <v>-4000</v>
      </c>
      <c r="M51" s="113"/>
      <c r="N51" s="15"/>
      <c r="O51" s="16"/>
    </row>
    <row r="52" spans="1:15" ht="16.5" customHeight="1">
      <c r="A52" s="108"/>
      <c r="B52" s="86"/>
      <c r="C52" s="87"/>
      <c r="D52" s="87"/>
      <c r="E52" s="87"/>
      <c r="F52" s="88"/>
      <c r="G52" s="89"/>
      <c r="H52" s="89"/>
      <c r="I52" s="89"/>
      <c r="J52" s="89"/>
      <c r="K52" s="89"/>
      <c r="L52" s="89"/>
      <c r="M52" s="14"/>
      <c r="N52" s="15"/>
      <c r="O52" s="16"/>
    </row>
    <row r="53" spans="1:15" ht="15.75" customHeight="1">
      <c r="A53" s="94"/>
      <c r="B53" s="90" t="s">
        <v>35</v>
      </c>
      <c r="C53" s="91"/>
      <c r="D53" s="91"/>
      <c r="E53" s="614"/>
      <c r="F53" s="618"/>
      <c r="G53" s="126">
        <f>G46-G51</f>
        <v>-215500</v>
      </c>
      <c r="H53" s="93">
        <f>H46+H51</f>
        <v>-847077.29975885712</v>
      </c>
      <c r="I53" s="93">
        <f>I46+I51</f>
        <v>-429852.7383268571</v>
      </c>
      <c r="J53" s="93">
        <f>J46+J51</f>
        <v>226705.79611314321</v>
      </c>
      <c r="K53" s="93">
        <f>K46+K51</f>
        <v>1374400.5312491418</v>
      </c>
      <c r="L53" s="93">
        <f>L46+L51</f>
        <v>2056832.6084209015</v>
      </c>
      <c r="M53" s="14"/>
      <c r="N53" s="15"/>
      <c r="O53" s="16"/>
    </row>
    <row r="54" spans="1:15" ht="15.75" customHeight="1">
      <c r="A54" s="94"/>
      <c r="B54" s="95" t="s">
        <v>32</v>
      </c>
      <c r="C54" s="96"/>
      <c r="D54" s="96"/>
      <c r="E54" s="96"/>
      <c r="F54" s="97"/>
      <c r="G54" s="98"/>
      <c r="H54" s="98">
        <f>H53/H$13</f>
        <v>-0.81216756262466372</v>
      </c>
      <c r="I54" s="98">
        <f>I53/I$13</f>
        <v>-0.19961395315962363</v>
      </c>
      <c r="J54" s="98">
        <f>J53/J$13</f>
        <v>5.9255672195663738E-2</v>
      </c>
      <c r="K54" s="98">
        <f>K53/K$13</f>
        <v>0.21296163726256562</v>
      </c>
      <c r="L54" s="98">
        <f>L53/L$13</f>
        <v>0.19151115398082988</v>
      </c>
      <c r="M54" s="14"/>
      <c r="N54" s="15"/>
      <c r="O54" s="16"/>
    </row>
    <row r="55" spans="1:15" ht="16.5" customHeight="1">
      <c r="A55" s="108"/>
      <c r="B55" s="81"/>
      <c r="C55" s="82"/>
      <c r="D55" s="82"/>
      <c r="E55" s="82"/>
      <c r="F55" s="122"/>
      <c r="G55" s="123"/>
      <c r="H55" s="123"/>
      <c r="I55" s="123"/>
      <c r="J55" s="123"/>
      <c r="K55" s="123"/>
      <c r="L55" s="123"/>
      <c r="M55" s="14"/>
      <c r="N55" s="15"/>
      <c r="O55" s="16"/>
    </row>
    <row r="56" spans="1:15" ht="16.5" customHeight="1">
      <c r="A56" s="108"/>
      <c r="B56" s="124" t="s">
        <v>36</v>
      </c>
      <c r="C56" s="82"/>
      <c r="D56" s="82"/>
      <c r="E56" s="82"/>
      <c r="F56" s="122"/>
      <c r="G56" s="123"/>
      <c r="H56" s="123"/>
      <c r="I56" s="123"/>
      <c r="J56" s="123"/>
      <c r="K56" s="123"/>
      <c r="L56" s="123"/>
      <c r="M56" s="14"/>
      <c r="N56" s="15"/>
      <c r="O56" s="16"/>
    </row>
    <row r="57" spans="1:15" ht="17" customHeight="1">
      <c r="A57" s="108"/>
      <c r="B57" s="129"/>
      <c r="C57" s="130"/>
      <c r="D57" s="130"/>
      <c r="E57" s="130"/>
      <c r="F57" s="131" t="s">
        <v>36</v>
      </c>
      <c r="G57" s="231">
        <v>1000</v>
      </c>
      <c r="H57" s="132">
        <f>Costs!H241</f>
        <v>0</v>
      </c>
      <c r="I57" s="132">
        <f>Costs!I241</f>
        <v>0</v>
      </c>
      <c r="J57" s="132">
        <f>Costs!J241</f>
        <v>0</v>
      </c>
      <c r="K57" s="132">
        <f>Costs!K241</f>
        <v>0</v>
      </c>
      <c r="L57" s="132">
        <f>Costs!L241</f>
        <v>0</v>
      </c>
      <c r="M57" s="85"/>
      <c r="N57" s="15"/>
      <c r="O57" s="16"/>
    </row>
    <row r="58" spans="1:15" ht="16" customHeight="1">
      <c r="A58" s="133"/>
      <c r="B58" s="134" t="str">
        <f>"Total "&amp;B56</f>
        <v>Total Interest</v>
      </c>
      <c r="C58" s="135"/>
      <c r="D58" s="135"/>
      <c r="E58" s="135"/>
      <c r="F58" s="136"/>
      <c r="G58" s="137"/>
      <c r="H58" s="137">
        <f>H57</f>
        <v>0</v>
      </c>
      <c r="I58" s="137">
        <f>I57</f>
        <v>0</v>
      </c>
      <c r="J58" s="137">
        <f>J57</f>
        <v>0</v>
      </c>
      <c r="K58" s="137">
        <f>K57</f>
        <v>0</v>
      </c>
      <c r="L58" s="137">
        <f>L57</f>
        <v>0</v>
      </c>
      <c r="M58" s="113"/>
      <c r="N58" s="15"/>
      <c r="O58" s="16"/>
    </row>
    <row r="59" spans="1:15" ht="16.5" customHeight="1">
      <c r="A59" s="108"/>
      <c r="B59" s="86"/>
      <c r="C59" s="87"/>
      <c r="D59" s="87"/>
      <c r="E59" s="87"/>
      <c r="F59" s="88"/>
      <c r="G59" s="89"/>
      <c r="H59" s="89"/>
      <c r="I59" s="89"/>
      <c r="J59" s="89"/>
      <c r="K59" s="89"/>
      <c r="L59" s="89"/>
      <c r="M59" s="14"/>
      <c r="N59" s="15"/>
      <c r="O59" s="16"/>
    </row>
    <row r="60" spans="1:15" ht="15.75" customHeight="1">
      <c r="A60" s="94"/>
      <c r="B60" s="90" t="s">
        <v>37</v>
      </c>
      <c r="C60" s="91"/>
      <c r="D60" s="91"/>
      <c r="E60" s="614"/>
      <c r="F60" s="615"/>
      <c r="G60" s="92">
        <f>G53-G57</f>
        <v>-216500</v>
      </c>
      <c r="H60" s="93">
        <f>H53-H58</f>
        <v>-847077.29975885712</v>
      </c>
      <c r="I60" s="93">
        <f>I53-I58</f>
        <v>-429852.7383268571</v>
      </c>
      <c r="J60" s="93">
        <f>J53-J58</f>
        <v>226705.79611314321</v>
      </c>
      <c r="K60" s="93">
        <f>K53-K58</f>
        <v>1374400.5312491418</v>
      </c>
      <c r="L60" s="519">
        <f>L53-L58</f>
        <v>2056832.6084209015</v>
      </c>
      <c r="M60" s="15"/>
      <c r="N60" s="15"/>
      <c r="O60" s="16"/>
    </row>
    <row r="61" spans="1:15" ht="15.75" customHeight="1">
      <c r="A61" s="94"/>
      <c r="B61" s="138" t="s">
        <v>32</v>
      </c>
      <c r="C61" s="139"/>
      <c r="D61" s="139"/>
      <c r="E61" s="139"/>
      <c r="F61" s="140"/>
      <c r="G61" s="141"/>
      <c r="H61" s="141">
        <f>H60/H$13</f>
        <v>-0.81216756262466372</v>
      </c>
      <c r="I61" s="141">
        <f>I60/I$13</f>
        <v>-0.19961395315962363</v>
      </c>
      <c r="J61" s="141">
        <f>J60/J$13</f>
        <v>5.9255672195663738E-2</v>
      </c>
      <c r="K61" s="141">
        <f>K60/K$13</f>
        <v>0.21296163726256562</v>
      </c>
      <c r="L61" s="520">
        <f>L60/L$13</f>
        <v>0.19151115398082988</v>
      </c>
      <c r="M61" s="15"/>
      <c r="N61" s="15"/>
      <c r="O61" s="16"/>
    </row>
    <row r="62" spans="1:15" ht="15.75" customHeight="1">
      <c r="A62" s="94"/>
      <c r="B62" s="142"/>
      <c r="C62" s="143"/>
      <c r="D62" s="143"/>
      <c r="E62" s="143"/>
      <c r="F62" s="144"/>
      <c r="G62" s="145"/>
      <c r="H62" s="145"/>
      <c r="I62" s="145"/>
      <c r="J62" s="145"/>
      <c r="K62" s="145"/>
      <c r="L62" s="145"/>
      <c r="M62" s="14"/>
      <c r="N62" s="15"/>
      <c r="O62" s="16"/>
    </row>
    <row r="63" spans="1:15" ht="16.5" customHeight="1">
      <c r="A63" s="108"/>
      <c r="B63" s="124" t="s">
        <v>38</v>
      </c>
      <c r="C63" s="82"/>
      <c r="D63" s="82"/>
      <c r="E63" s="82"/>
      <c r="F63" s="122"/>
      <c r="G63" s="123"/>
      <c r="H63" s="123"/>
      <c r="I63" s="123"/>
      <c r="J63" s="123"/>
      <c r="K63" s="123"/>
      <c r="L63" s="123"/>
      <c r="M63" s="14"/>
      <c r="N63" s="15"/>
      <c r="O63" s="16"/>
    </row>
    <row r="64" spans="1:15" ht="17" customHeight="1">
      <c r="A64" s="108"/>
      <c r="B64" s="129"/>
      <c r="C64" s="130"/>
      <c r="D64" s="130"/>
      <c r="E64" s="130"/>
      <c r="F64" s="131" t="s">
        <v>38</v>
      </c>
      <c r="G64" s="231">
        <v>1000</v>
      </c>
      <c r="H64" s="132">
        <f>Costs!H247</f>
        <v>-169415.45995177148</v>
      </c>
      <c r="I64" s="132">
        <f>Costs!I247</f>
        <v>-85970.547665371472</v>
      </c>
      <c r="J64" s="132">
        <f>Costs!J247</f>
        <v>45341.15922262855</v>
      </c>
      <c r="K64" s="132">
        <f>Costs!K247</f>
        <v>274880.1062498283</v>
      </c>
      <c r="L64" s="132">
        <f>Costs!L247</f>
        <v>411366.52168418025</v>
      </c>
      <c r="M64" s="14"/>
      <c r="N64" s="15"/>
      <c r="O64" s="16"/>
    </row>
    <row r="65" spans="1:15" ht="16" customHeight="1">
      <c r="A65" s="133"/>
      <c r="B65" s="134" t="str">
        <f>"Total "&amp;B63</f>
        <v>Total Taxes</v>
      </c>
      <c r="C65" s="135"/>
      <c r="D65" s="135"/>
      <c r="E65" s="135"/>
      <c r="F65" s="136"/>
      <c r="G65" s="146">
        <f t="shared" ref="G65:L65" si="6">G64</f>
        <v>1000</v>
      </c>
      <c r="H65" s="137">
        <f t="shared" si="6"/>
        <v>-169415.45995177148</v>
      </c>
      <c r="I65" s="137">
        <f t="shared" si="6"/>
        <v>-85970.547665371472</v>
      </c>
      <c r="J65" s="137">
        <f t="shared" si="6"/>
        <v>45341.15922262855</v>
      </c>
      <c r="K65" s="137">
        <f t="shared" si="6"/>
        <v>274880.1062498283</v>
      </c>
      <c r="L65" s="137">
        <f t="shared" si="6"/>
        <v>411366.52168418025</v>
      </c>
      <c r="M65" s="113"/>
      <c r="N65" s="15"/>
      <c r="O65" s="16"/>
    </row>
    <row r="66" spans="1:15" ht="16.5" customHeight="1">
      <c r="A66" s="108"/>
      <c r="B66" s="86"/>
      <c r="C66" s="87"/>
      <c r="D66" s="87"/>
      <c r="E66" s="87"/>
      <c r="F66" s="88"/>
      <c r="G66" s="89"/>
      <c r="H66" s="89"/>
      <c r="I66" s="89"/>
      <c r="J66" s="89"/>
      <c r="K66" s="89"/>
      <c r="L66" s="89"/>
      <c r="M66" s="14"/>
      <c r="N66" s="15"/>
      <c r="O66" s="16"/>
    </row>
    <row r="67" spans="1:15" ht="15.75" customHeight="1">
      <c r="A67" s="94"/>
      <c r="B67" s="90" t="s">
        <v>39</v>
      </c>
      <c r="C67" s="91"/>
      <c r="D67" s="91"/>
      <c r="E67" s="614"/>
      <c r="F67" s="615"/>
      <c r="G67" s="92">
        <f t="shared" ref="G67:L67" si="7">G60-G65</f>
        <v>-217500</v>
      </c>
      <c r="H67" s="93">
        <f t="shared" si="7"/>
        <v>-677661.83980708569</v>
      </c>
      <c r="I67" s="93">
        <f t="shared" si="7"/>
        <v>-343882.19066148566</v>
      </c>
      <c r="J67" s="93">
        <f t="shared" si="7"/>
        <v>181364.63689051467</v>
      </c>
      <c r="K67" s="93">
        <f t="shared" si="7"/>
        <v>1099520.4249993134</v>
      </c>
      <c r="L67" s="93">
        <f t="shared" si="7"/>
        <v>1645466.0867367212</v>
      </c>
      <c r="M67" s="14"/>
      <c r="N67" s="15"/>
      <c r="O67" s="16"/>
    </row>
    <row r="68" spans="1:15" ht="15.75" customHeight="1">
      <c r="A68" s="94"/>
      <c r="B68" s="138" t="s">
        <v>32</v>
      </c>
      <c r="C68" s="139"/>
      <c r="D68" s="139"/>
      <c r="E68" s="139"/>
      <c r="F68" s="140"/>
      <c r="G68" s="141"/>
      <c r="H68" s="141">
        <f>H67/H$13</f>
        <v>-0.64973405009973095</v>
      </c>
      <c r="I68" s="141">
        <f>I67/I$13</f>
        <v>-0.15969116252769888</v>
      </c>
      <c r="J68" s="141">
        <f>J67/J$13</f>
        <v>4.7404537756531015E-2</v>
      </c>
      <c r="K68" s="141">
        <f>K67/K$13</f>
        <v>0.17036930981005249</v>
      </c>
      <c r="L68" s="141">
        <f>L67/L$13</f>
        <v>0.15320892318466389</v>
      </c>
      <c r="M68" s="14"/>
      <c r="N68" s="15"/>
      <c r="O68" s="16"/>
    </row>
    <row r="69" spans="1:15" ht="15.75" customHeight="1">
      <c r="A69" s="147"/>
      <c r="B69" s="143"/>
      <c r="C69" s="143"/>
      <c r="D69" s="143"/>
      <c r="E69" s="143"/>
      <c r="F69" s="143"/>
      <c r="G69" s="148"/>
      <c r="H69" s="148"/>
      <c r="I69" s="148"/>
      <c r="J69" s="148"/>
      <c r="K69" s="148"/>
      <c r="L69" s="148"/>
      <c r="M69" s="15"/>
      <c r="N69" s="15"/>
      <c r="O69" s="16"/>
    </row>
    <row r="70" spans="1:15" ht="16" customHeight="1">
      <c r="A70" s="48"/>
      <c r="B70" s="15"/>
      <c r="C70" s="15"/>
      <c r="D70" s="15"/>
      <c r="E70" s="15"/>
      <c r="F70" s="149"/>
      <c r="G70" s="14"/>
      <c r="H70" s="15"/>
      <c r="I70" s="15"/>
      <c r="J70" s="15"/>
      <c r="K70" s="15"/>
      <c r="L70" s="15"/>
      <c r="M70" s="15"/>
      <c r="N70" s="15"/>
      <c r="O70" s="16"/>
    </row>
    <row r="71" spans="1:15" ht="16" customHeight="1">
      <c r="A71" s="48"/>
      <c r="B71" s="15"/>
      <c r="C71" s="15"/>
      <c r="D71" s="15"/>
      <c r="E71" s="15"/>
      <c r="F71" s="149"/>
      <c r="G71" s="14"/>
      <c r="H71" s="15"/>
      <c r="I71" s="15"/>
      <c r="J71" s="15"/>
      <c r="K71" s="15"/>
      <c r="L71" s="15"/>
      <c r="M71" s="15"/>
      <c r="N71" s="15"/>
      <c r="O71" s="16"/>
    </row>
    <row r="72" spans="1:15" ht="16" customHeight="1">
      <c r="A72" s="48"/>
      <c r="B72" s="65"/>
      <c r="C72" s="65"/>
      <c r="D72" s="65"/>
      <c r="E72" s="65"/>
      <c r="F72" s="150"/>
      <c r="G72" s="64"/>
      <c r="H72" s="65"/>
      <c r="I72" s="65"/>
      <c r="J72" s="65"/>
      <c r="K72" s="65"/>
      <c r="L72" s="65"/>
      <c r="M72" s="15"/>
      <c r="N72" s="15"/>
      <c r="O72" s="16"/>
    </row>
    <row r="73" spans="1:15" ht="20" customHeight="1">
      <c r="A73" s="8"/>
      <c r="B73" s="151" t="s">
        <v>40</v>
      </c>
      <c r="C73" s="77"/>
      <c r="D73" s="78"/>
      <c r="E73" s="78"/>
      <c r="F73" s="78"/>
      <c r="G73" s="506" t="str">
        <f t="shared" si="0"/>
        <v>Past Year</v>
      </c>
      <c r="H73" s="506" t="s">
        <v>22</v>
      </c>
      <c r="I73" s="152" t="s">
        <v>23</v>
      </c>
      <c r="J73" s="68" t="s">
        <v>24</v>
      </c>
      <c r="K73" s="68" t="s">
        <v>25</v>
      </c>
      <c r="L73" s="68" t="s">
        <v>26</v>
      </c>
      <c r="M73" s="14"/>
      <c r="N73" s="15"/>
      <c r="O73" s="16"/>
    </row>
    <row r="74" spans="1:15" ht="19" customHeight="1">
      <c r="A74" s="153"/>
      <c r="B74" s="154" t="s">
        <v>41</v>
      </c>
      <c r="C74" s="155"/>
      <c r="D74" s="155"/>
      <c r="E74" s="155"/>
      <c r="F74" s="156"/>
      <c r="G74" s="157"/>
      <c r="H74" s="507"/>
      <c r="I74" s="158"/>
      <c r="J74" s="157"/>
      <c r="K74" s="157"/>
      <c r="L74" s="157"/>
      <c r="M74" s="14"/>
      <c r="N74" s="15"/>
      <c r="O74" s="16"/>
    </row>
    <row r="75" spans="1:15" ht="16" customHeight="1">
      <c r="A75" s="153"/>
      <c r="B75" s="14"/>
      <c r="C75" s="15"/>
      <c r="D75" s="15"/>
      <c r="E75" s="15"/>
      <c r="F75" s="83" t="s">
        <v>42</v>
      </c>
      <c r="G75" s="106"/>
      <c r="H75" s="508">
        <f>H67</f>
        <v>-677661.83980708569</v>
      </c>
      <c r="I75" s="160">
        <f>I67</f>
        <v>-343882.19066148566</v>
      </c>
      <c r="J75" s="84">
        <f>J67</f>
        <v>181364.63689051467</v>
      </c>
      <c r="K75" s="84">
        <f>K67</f>
        <v>1099520.4249993134</v>
      </c>
      <c r="L75" s="84">
        <f>L67</f>
        <v>1645466.0867367212</v>
      </c>
      <c r="M75" s="14"/>
      <c r="N75" s="15"/>
      <c r="O75" s="16"/>
    </row>
    <row r="76" spans="1:15" ht="16" customHeight="1">
      <c r="A76" s="153"/>
      <c r="B76" s="14"/>
      <c r="C76" s="15"/>
      <c r="D76" s="15"/>
      <c r="E76" s="15"/>
      <c r="F76" s="83" t="s">
        <v>43</v>
      </c>
      <c r="G76" s="106"/>
      <c r="H76" s="508">
        <f>-H51</f>
        <v>4000</v>
      </c>
      <c r="I76" s="161">
        <f>-I51</f>
        <v>4000</v>
      </c>
      <c r="J76" s="522">
        <f>-J51</f>
        <v>4000</v>
      </c>
      <c r="K76" s="522">
        <f>-K51</f>
        <v>4000</v>
      </c>
      <c r="L76" s="522">
        <f>-L51</f>
        <v>4000</v>
      </c>
      <c r="M76" s="521"/>
      <c r="N76" s="15"/>
      <c r="O76" s="16"/>
    </row>
    <row r="77" spans="1:15" ht="16" customHeight="1">
      <c r="A77" s="153"/>
      <c r="B77" s="14"/>
      <c r="C77" s="15"/>
      <c r="D77" s="15"/>
      <c r="E77" s="15"/>
      <c r="F77" s="83" t="s">
        <v>44</v>
      </c>
      <c r="G77" s="106"/>
      <c r="H77" s="508">
        <f>-('BS CF'!H11-'BS CF'!D8)</f>
        <v>-1979.9526204081626</v>
      </c>
      <c r="I77" s="160">
        <f>-('BS CF'!I11-'BS CF'!H11)</f>
        <v>-3172.6767999999997</v>
      </c>
      <c r="J77" s="160">
        <f>-('BS CF'!J11-'BS CF'!I11)</f>
        <v>-4778.4902857142861</v>
      </c>
      <c r="K77" s="160">
        <f>-('BS CF'!K11-'BS CF'!J11)</f>
        <v>-7508.1574857142805</v>
      </c>
      <c r="L77" s="160">
        <f>-('BS CF'!L11-'BS CF'!K11)</f>
        <v>-12246.479085714283</v>
      </c>
      <c r="M77" s="14"/>
      <c r="N77" s="15"/>
      <c r="O77" s="16"/>
    </row>
    <row r="78" spans="1:15" ht="16" customHeight="1">
      <c r="A78" s="153"/>
      <c r="B78" s="14"/>
      <c r="C78" s="15"/>
      <c r="D78" s="15"/>
      <c r="E78" s="15"/>
      <c r="F78" s="83" t="s">
        <v>237</v>
      </c>
      <c r="G78" s="106"/>
      <c r="H78" s="508">
        <f>-'BS CF'!H17</f>
        <v>-104298.34171428572</v>
      </c>
      <c r="I78" s="508">
        <f>-'BS CF'!I17</f>
        <v>-215342.02971428575</v>
      </c>
      <c r="J78" s="508">
        <f>-'BS CF'!J17</f>
        <v>-382589.18971428578</v>
      </c>
      <c r="K78" s="508">
        <f>-'BS CF'!K17</f>
        <v>-645374.70171428565</v>
      </c>
      <c r="L78" s="508">
        <f>-'BS CF'!L17</f>
        <v>-1074001.4697142856</v>
      </c>
      <c r="M78" s="14"/>
      <c r="N78" s="15"/>
      <c r="O78" s="16"/>
    </row>
    <row r="79" spans="1:15" ht="16" customHeight="1">
      <c r="A79" s="153"/>
      <c r="B79" s="162"/>
      <c r="C79" s="163"/>
      <c r="D79" s="163"/>
      <c r="E79" s="163"/>
      <c r="F79" s="131" t="s">
        <v>45</v>
      </c>
      <c r="G79" s="164"/>
      <c r="H79" s="509">
        <f>'BS CF'!H36-'BS CF'!D33</f>
        <v>78536.036150285712</v>
      </c>
      <c r="I79" s="165">
        <f>'BS CF'!I36-'BS CF'!H36</f>
        <v>51965.876427999989</v>
      </c>
      <c r="J79" s="165">
        <f>'BS CF'!J36-'BS CF'!I36</f>
        <v>81676.374760000035</v>
      </c>
      <c r="K79" s="165">
        <f>'BS CF'!K36-'BS CF'!J36</f>
        <v>133125.44786533326</v>
      </c>
      <c r="L79" s="165">
        <f>'BS CF'!L36-'BS CF'!K36</f>
        <v>250619.89202799997</v>
      </c>
      <c r="M79" s="14"/>
      <c r="N79" s="15"/>
      <c r="O79" s="16"/>
    </row>
    <row r="80" spans="1:15" ht="16" customHeight="1">
      <c r="A80" s="133"/>
      <c r="B80" s="134" t="s">
        <v>46</v>
      </c>
      <c r="C80" s="135"/>
      <c r="D80" s="135"/>
      <c r="E80" s="135"/>
      <c r="F80" s="136"/>
      <c r="G80" s="166"/>
      <c r="H80" s="510">
        <f>SUM(H75:H79)</f>
        <v>-701404.09799149376</v>
      </c>
      <c r="I80" s="167">
        <f>SUM(I75:I79)</f>
        <v>-506431.02074777143</v>
      </c>
      <c r="J80" s="166">
        <f>SUM(J75:J79)</f>
        <v>-120326.66834948535</v>
      </c>
      <c r="K80" s="166">
        <f>SUM(K75:K79)</f>
        <v>583763.01366464689</v>
      </c>
      <c r="L80" s="166">
        <f>SUM(L75:L79)</f>
        <v>813838.0299647213</v>
      </c>
      <c r="M80" s="113"/>
      <c r="N80" s="15"/>
      <c r="O80" s="16"/>
    </row>
    <row r="81" spans="1:15" ht="16" customHeight="1">
      <c r="A81" s="153"/>
      <c r="B81" s="14"/>
      <c r="C81" s="15"/>
      <c r="D81" s="15"/>
      <c r="E81" s="15"/>
      <c r="F81" s="149"/>
      <c r="G81" s="106"/>
      <c r="H81" s="511"/>
      <c r="I81" s="63"/>
      <c r="J81" s="106"/>
      <c r="K81" s="106"/>
      <c r="L81" s="106"/>
      <c r="M81" s="14"/>
      <c r="N81" s="15"/>
      <c r="O81" s="16"/>
    </row>
    <row r="82" spans="1:15" ht="19" customHeight="1">
      <c r="A82" s="153"/>
      <c r="B82" s="124" t="s">
        <v>47</v>
      </c>
      <c r="C82" s="15"/>
      <c r="D82" s="15"/>
      <c r="E82" s="15"/>
      <c r="F82" s="149"/>
      <c r="G82" s="106"/>
      <c r="H82" s="511"/>
      <c r="I82" s="63"/>
      <c r="J82" s="106"/>
      <c r="K82" s="106"/>
      <c r="L82" s="106"/>
      <c r="M82" s="14"/>
      <c r="N82" s="15"/>
      <c r="O82" s="16"/>
    </row>
    <row r="83" spans="1:15" ht="17" customHeight="1">
      <c r="A83" s="108"/>
      <c r="B83" s="129"/>
      <c r="C83" s="130"/>
      <c r="D83" s="130"/>
      <c r="E83" s="130"/>
      <c r="F83" s="131" t="s">
        <v>47</v>
      </c>
      <c r="G83" s="168"/>
      <c r="H83" s="512">
        <f>'BS CF'!H57</f>
        <v>0</v>
      </c>
      <c r="I83" s="505">
        <f>'BS CF'!I57</f>
        <v>0</v>
      </c>
      <c r="J83" s="169">
        <f>'BS CF'!J57</f>
        <v>0</v>
      </c>
      <c r="K83" s="169">
        <f>'BS CF'!K57</f>
        <v>0</v>
      </c>
      <c r="L83" s="169">
        <f>'BS CF'!L57</f>
        <v>0</v>
      </c>
      <c r="M83" s="14"/>
      <c r="N83" s="15"/>
      <c r="O83" s="16"/>
    </row>
    <row r="84" spans="1:15" ht="15" customHeight="1">
      <c r="A84" s="133"/>
      <c r="B84" s="134" t="str">
        <f>"Total "&amp;B82</f>
        <v>Total Capital Expenditures</v>
      </c>
      <c r="C84" s="135"/>
      <c r="D84" s="135"/>
      <c r="E84" s="135"/>
      <c r="F84" s="136"/>
      <c r="G84" s="166"/>
      <c r="H84" s="513">
        <f>H83</f>
        <v>0</v>
      </c>
      <c r="I84" s="170">
        <f>I83</f>
        <v>0</v>
      </c>
      <c r="J84" s="137">
        <f>J83</f>
        <v>0</v>
      </c>
      <c r="K84" s="137">
        <f>K83</f>
        <v>0</v>
      </c>
      <c r="L84" s="137">
        <f>L83</f>
        <v>0</v>
      </c>
      <c r="M84" s="113"/>
      <c r="N84" s="15"/>
      <c r="O84" s="16"/>
    </row>
    <row r="85" spans="1:15" ht="16" customHeight="1">
      <c r="A85" s="153"/>
      <c r="B85" s="14"/>
      <c r="C85" s="15"/>
      <c r="D85" s="15"/>
      <c r="E85" s="15"/>
      <c r="F85" s="149"/>
      <c r="G85" s="106"/>
      <c r="H85" s="508"/>
      <c r="I85" s="160"/>
      <c r="J85" s="84"/>
      <c r="K85" s="84"/>
      <c r="L85" s="84"/>
      <c r="M85" s="14"/>
      <c r="N85" s="15"/>
      <c r="O85" s="16"/>
    </row>
    <row r="86" spans="1:15" ht="19" customHeight="1">
      <c r="A86" s="153"/>
      <c r="B86" s="124" t="s">
        <v>48</v>
      </c>
      <c r="C86" s="15"/>
      <c r="D86" s="15"/>
      <c r="E86" s="15"/>
      <c r="F86" s="149"/>
      <c r="G86" s="106"/>
      <c r="H86" s="508"/>
      <c r="I86" s="160"/>
      <c r="J86" s="84"/>
      <c r="K86" s="84"/>
      <c r="L86" s="84"/>
      <c r="M86" s="14"/>
      <c r="N86" s="15"/>
      <c r="O86" s="16"/>
    </row>
    <row r="87" spans="1:15" ht="16" customHeight="1">
      <c r="A87" s="153"/>
      <c r="B87" s="14"/>
      <c r="C87" s="15"/>
      <c r="D87" s="15"/>
      <c r="E87" s="15"/>
      <c r="F87" s="83" t="s">
        <v>49</v>
      </c>
      <c r="G87" s="106"/>
      <c r="H87" s="508">
        <f>'BS CF'!H43-'BS CF'!G43</f>
        <v>0</v>
      </c>
      <c r="I87" s="161">
        <f>'BS CF'!I43-'BS CF'!H43</f>
        <v>0</v>
      </c>
      <c r="J87" s="159">
        <f>'BS CF'!J43-'BS CF'!I43</f>
        <v>0</v>
      </c>
      <c r="K87" s="159">
        <f>'BS CF'!K43-'BS CF'!J43</f>
        <v>0</v>
      </c>
      <c r="L87" s="508">
        <f>'BS CF'!L43-'BS CF'!K43</f>
        <v>0</v>
      </c>
      <c r="M87" s="15"/>
      <c r="N87" s="15"/>
      <c r="O87" s="16"/>
    </row>
    <row r="88" spans="1:15" ht="16" customHeight="1">
      <c r="A88" s="153"/>
      <c r="B88" s="14"/>
      <c r="C88" s="15"/>
      <c r="D88" s="15"/>
      <c r="E88" s="15"/>
      <c r="F88" s="83" t="s">
        <v>50</v>
      </c>
      <c r="G88" s="106"/>
      <c r="H88" s="508">
        <f>'BS CF'!H49</f>
        <v>0</v>
      </c>
      <c r="I88" s="161">
        <f>'BS CF'!I49</f>
        <v>0</v>
      </c>
      <c r="J88" s="159">
        <f>'BS CF'!J49</f>
        <v>0</v>
      </c>
      <c r="K88" s="159">
        <f>'BS CF'!K49</f>
        <v>0</v>
      </c>
      <c r="L88" s="159">
        <f>'BS CF'!L49</f>
        <v>0</v>
      </c>
      <c r="M88" s="85"/>
      <c r="N88" s="15"/>
      <c r="O88" s="16"/>
    </row>
    <row r="89" spans="1:15" ht="16" customHeight="1">
      <c r="A89" s="153"/>
      <c r="B89" s="162"/>
      <c r="C89" s="163"/>
      <c r="D89" s="163"/>
      <c r="E89" s="163"/>
      <c r="F89" s="131" t="s">
        <v>51</v>
      </c>
      <c r="G89" s="164"/>
      <c r="H89" s="508">
        <f>'BS CF'!H50</f>
        <v>0</v>
      </c>
      <c r="I89" s="161">
        <f>'BS CF'!I50</f>
        <v>0</v>
      </c>
      <c r="J89" s="159">
        <f>'BS CF'!J50</f>
        <v>0</v>
      </c>
      <c r="K89" s="159">
        <f>'BS CF'!K50</f>
        <v>0</v>
      </c>
      <c r="L89" s="159">
        <f>'BS CF'!L50</f>
        <v>0</v>
      </c>
      <c r="M89" s="14"/>
      <c r="N89" s="15"/>
      <c r="O89" s="16"/>
    </row>
    <row r="90" spans="1:15" ht="15" customHeight="1">
      <c r="A90" s="133"/>
      <c r="B90" s="134" t="s">
        <v>52</v>
      </c>
      <c r="C90" s="135"/>
      <c r="D90" s="135"/>
      <c r="E90" s="135"/>
      <c r="F90" s="136"/>
      <c r="G90" s="166"/>
      <c r="H90" s="513">
        <f>SUM(H87:H89)</f>
        <v>0</v>
      </c>
      <c r="I90" s="170">
        <f>SUM(I87:I89)</f>
        <v>0</v>
      </c>
      <c r="J90" s="137">
        <f>SUM(J87:J89)</f>
        <v>0</v>
      </c>
      <c r="K90" s="137">
        <f>SUM(K87:K89)</f>
        <v>0</v>
      </c>
      <c r="L90" s="137">
        <f>SUM(L87:L89)</f>
        <v>0</v>
      </c>
      <c r="M90" s="113"/>
      <c r="N90" s="15"/>
      <c r="O90" s="16"/>
    </row>
    <row r="91" spans="1:15" ht="17" customHeight="1">
      <c r="A91" s="153"/>
      <c r="B91" s="171"/>
      <c r="C91" s="115"/>
      <c r="D91" s="115"/>
      <c r="E91" s="115"/>
      <c r="F91" s="172"/>
      <c r="G91" s="173"/>
      <c r="H91" s="514"/>
      <c r="I91" s="174"/>
      <c r="J91" s="119"/>
      <c r="K91" s="119"/>
      <c r="L91" s="119"/>
      <c r="M91" s="14"/>
      <c r="N91" s="15"/>
      <c r="O91" s="16"/>
    </row>
    <row r="92" spans="1:15" ht="15.75" customHeight="1">
      <c r="A92" s="94"/>
      <c r="B92" s="175" t="s">
        <v>53</v>
      </c>
      <c r="C92" s="176"/>
      <c r="D92" s="177"/>
      <c r="E92" s="616"/>
      <c r="F92" s="617"/>
      <c r="G92" s="178"/>
      <c r="H92" s="515">
        <f>H80-H84+H90</f>
        <v>-701404.09799149376</v>
      </c>
      <c r="I92" s="179">
        <f>I80-I84+I90</f>
        <v>-506431.02074777143</v>
      </c>
      <c r="J92" s="180">
        <f>J80-J84+J90</f>
        <v>-120326.66834948535</v>
      </c>
      <c r="K92" s="180">
        <f>K80-K84+K90</f>
        <v>583763.01366464689</v>
      </c>
      <c r="L92" s="180">
        <f>L80-L84+L90</f>
        <v>813838.0299647213</v>
      </c>
      <c r="M92" s="14"/>
      <c r="N92" s="15"/>
      <c r="O92" s="16"/>
    </row>
    <row r="93" spans="1:15" ht="16" customHeight="1">
      <c r="A93" s="153"/>
      <c r="B93" s="181"/>
      <c r="C93" s="182"/>
      <c r="D93" s="183"/>
      <c r="E93" s="155"/>
      <c r="F93" s="156"/>
      <c r="G93" s="184"/>
      <c r="H93" s="516"/>
      <c r="I93" s="185"/>
      <c r="J93" s="184"/>
      <c r="K93" s="184"/>
      <c r="L93" s="184"/>
      <c r="M93" s="14"/>
      <c r="N93" s="15"/>
      <c r="O93" s="16"/>
    </row>
    <row r="94" spans="1:15" ht="19" customHeight="1">
      <c r="A94" s="153"/>
      <c r="B94" s="124" t="s">
        <v>54</v>
      </c>
      <c r="C94" s="15"/>
      <c r="D94" s="15"/>
      <c r="E94" s="15"/>
      <c r="F94" s="149"/>
      <c r="G94" s="106"/>
      <c r="H94" s="511"/>
      <c r="I94" s="63"/>
      <c r="J94" s="106"/>
      <c r="K94" s="106"/>
      <c r="L94" s="106"/>
      <c r="M94" s="14"/>
      <c r="N94" s="15"/>
      <c r="O94" s="16"/>
    </row>
    <row r="95" spans="1:15" ht="16" customHeight="1">
      <c r="A95" s="153"/>
      <c r="B95" s="14"/>
      <c r="C95" s="15"/>
      <c r="D95" s="15"/>
      <c r="E95" s="15"/>
      <c r="F95" s="83" t="s">
        <v>55</v>
      </c>
      <c r="G95" s="106"/>
      <c r="H95" s="508">
        <f>'BS CF'!D29</f>
        <v>200000</v>
      </c>
      <c r="I95" s="161">
        <f>H97</f>
        <v>-501404.09799149376</v>
      </c>
      <c r="J95" s="159">
        <f>I97</f>
        <v>-1007835.1187392653</v>
      </c>
      <c r="K95" s="159">
        <f>J97</f>
        <v>-1128161.7870887506</v>
      </c>
      <c r="L95" s="84">
        <f>K97</f>
        <v>-544398.77342410374</v>
      </c>
      <c r="M95" s="14"/>
      <c r="N95" s="15"/>
      <c r="O95" s="16"/>
    </row>
    <row r="96" spans="1:15" ht="17" customHeight="1">
      <c r="A96" s="153"/>
      <c r="B96" s="171"/>
      <c r="C96" s="115"/>
      <c r="D96" s="115"/>
      <c r="E96" s="115"/>
      <c r="F96" s="186" t="s">
        <v>53</v>
      </c>
      <c r="G96" s="187"/>
      <c r="H96" s="514">
        <f>H92</f>
        <v>-701404.09799149376</v>
      </c>
      <c r="I96" s="174">
        <f>I92</f>
        <v>-506431.02074777143</v>
      </c>
      <c r="J96" s="119">
        <f>J92</f>
        <v>-120326.66834948535</v>
      </c>
      <c r="K96" s="119">
        <f>K92</f>
        <v>583763.01366464689</v>
      </c>
      <c r="L96" s="119">
        <f>L92</f>
        <v>813838.0299647213</v>
      </c>
      <c r="M96" s="14"/>
      <c r="N96" s="15"/>
      <c r="O96" s="16"/>
    </row>
    <row r="97" spans="1:15" ht="15.75" customHeight="1">
      <c r="A97" s="94"/>
      <c r="B97" s="175" t="s">
        <v>56</v>
      </c>
      <c r="C97" s="176"/>
      <c r="D97" s="177"/>
      <c r="E97" s="616"/>
      <c r="F97" s="617"/>
      <c r="G97" s="178"/>
      <c r="H97" s="515">
        <f>SUM(H95:H96)</f>
        <v>-501404.09799149376</v>
      </c>
      <c r="I97" s="179">
        <f>SUM(I95:I96)</f>
        <v>-1007835.1187392653</v>
      </c>
      <c r="J97" s="180">
        <f>SUM(J95:J96)</f>
        <v>-1128161.7870887506</v>
      </c>
      <c r="K97" s="180">
        <f>SUM(K95:K96)</f>
        <v>-544398.77342410374</v>
      </c>
      <c r="L97" s="180">
        <f>SUM(L95:L96)</f>
        <v>269439.25654061756</v>
      </c>
      <c r="M97" s="14"/>
      <c r="N97" s="15"/>
      <c r="O97" s="16"/>
    </row>
  </sheetData>
  <mergeCells count="10">
    <mergeCell ref="E60:F60"/>
    <mergeCell ref="E92:F92"/>
    <mergeCell ref="E67:F67"/>
    <mergeCell ref="E97:F97"/>
    <mergeCell ref="E13:F13"/>
    <mergeCell ref="E46:F46"/>
    <mergeCell ref="E43:F43"/>
    <mergeCell ref="E32:F32"/>
    <mergeCell ref="E53:F53"/>
    <mergeCell ref="E19:F19"/>
  </mergeCells>
  <pageMargins left="0.7" right="0.7" top="0.75" bottom="0.75" header="0.3" footer="0.3"/>
  <pageSetup orientation="portrait"/>
  <headerFooter>
    <oddFooter>&amp;C&amp;"Helvetica Neue,Regular"&amp;11&amp;K000000&amp;P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U174"/>
  <sheetViews>
    <sheetView showGridLines="0" workbookViewId="0">
      <selection activeCell="L123" sqref="L123"/>
    </sheetView>
  </sheetViews>
  <sheetFormatPr baseColWidth="10" defaultColWidth="11.1640625" defaultRowHeight="16" customHeight="1"/>
  <cols>
    <col min="1" max="1" width="7" style="1" customWidth="1"/>
    <col min="2" max="2" width="11" style="1" customWidth="1"/>
    <col min="3" max="3" width="18.83203125" style="1" customWidth="1"/>
    <col min="4" max="5" width="18.5" style="1" customWidth="1"/>
    <col min="6" max="6" width="10.5" style="1" customWidth="1"/>
    <col min="7" max="7" width="13.33203125" style="1" customWidth="1"/>
    <col min="8" max="12" width="18.5" style="1" customWidth="1"/>
    <col min="13" max="13" width="40.5" style="1" customWidth="1"/>
    <col min="14" max="14" width="15.1640625" style="1" customWidth="1"/>
    <col min="15" max="255" width="11.1640625" style="1" customWidth="1"/>
  </cols>
  <sheetData>
    <row r="1" spans="1:255" ht="25" customHeight="1">
      <c r="A1" s="192"/>
      <c r="B1" s="57" t="s">
        <v>19</v>
      </c>
      <c r="C1" s="193"/>
      <c r="D1" s="619"/>
      <c r="E1" s="619"/>
      <c r="F1" s="619"/>
      <c r="G1" s="619"/>
      <c r="H1" s="619"/>
      <c r="I1" s="61" t="str">
        <f>"tip: input your assumptions and forecast parameters for "&amp;$E$5&amp;" on the left or in the lightly green highlighted cells below."</f>
        <v>tip: input your assumptions and forecast parameters for  on the left or in the lightly green highlighted cells below.</v>
      </c>
      <c r="J1" s="5"/>
      <c r="K1" s="6"/>
      <c r="L1" s="6"/>
      <c r="M1" s="6"/>
      <c r="N1" s="7"/>
      <c r="O1" s="194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7"/>
    </row>
    <row r="2" spans="1:255" ht="16" customHeight="1">
      <c r="A2" s="48"/>
      <c r="B2" s="195"/>
      <c r="C2" s="196"/>
      <c r="D2" s="115"/>
      <c r="E2" s="115"/>
      <c r="F2" s="115"/>
      <c r="G2" s="197" t="s">
        <v>64</v>
      </c>
      <c r="H2" s="198">
        <v>1</v>
      </c>
      <c r="I2" s="198">
        <v>2</v>
      </c>
      <c r="J2" s="198">
        <v>3</v>
      </c>
      <c r="K2" s="198">
        <v>4</v>
      </c>
      <c r="L2" s="198">
        <v>5</v>
      </c>
      <c r="M2" s="15"/>
      <c r="N2" s="16"/>
      <c r="O2" s="48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6"/>
    </row>
    <row r="3" spans="1:255" ht="20" customHeight="1">
      <c r="A3" s="199"/>
      <c r="B3" s="557" t="str">
        <f>Introduction!D4&amp;" Revenue"</f>
        <v>Unicorn Inc. Revenue</v>
      </c>
      <c r="C3" s="201"/>
      <c r="D3" s="201"/>
      <c r="E3" s="201"/>
      <c r="F3" s="201"/>
      <c r="G3" s="202"/>
      <c r="H3" s="203" t="str">
        <f>"Year "&amp;H2</f>
        <v>Year 1</v>
      </c>
      <c r="I3" s="203" t="str">
        <f>"Year "&amp;I2</f>
        <v>Year 2</v>
      </c>
      <c r="J3" s="203" t="str">
        <f>"Year "&amp;J2</f>
        <v>Year 3</v>
      </c>
      <c r="K3" s="203" t="str">
        <f>"Year "&amp;K2</f>
        <v>Year 4</v>
      </c>
      <c r="L3" s="204" t="str">
        <f>"Year "&amp;L2</f>
        <v>Year 5</v>
      </c>
      <c r="M3" s="205"/>
      <c r="N3" s="16"/>
      <c r="O3" s="48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6"/>
    </row>
    <row r="4" spans="1:255" ht="12" customHeight="1">
      <c r="A4" s="206"/>
      <c r="B4" s="207"/>
      <c r="C4" s="208"/>
      <c r="D4" s="208"/>
      <c r="E4" s="207"/>
      <c r="F4" s="208"/>
      <c r="G4" s="208"/>
      <c r="H4" s="209"/>
      <c r="I4" s="209"/>
      <c r="J4" s="209"/>
      <c r="K4" s="209"/>
      <c r="L4" s="209"/>
      <c r="M4" s="15"/>
      <c r="N4" s="16"/>
      <c r="O4" s="48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6"/>
    </row>
    <row r="5" spans="1:255" ht="20" customHeight="1">
      <c r="A5" s="210"/>
      <c r="B5" s="211" t="s">
        <v>65</v>
      </c>
      <c r="C5" s="201"/>
      <c r="D5" s="201"/>
      <c r="E5" s="201"/>
      <c r="F5" s="201"/>
      <c r="G5" s="202"/>
      <c r="H5" s="212" t="str">
        <f t="shared" ref="H5:H53" si="0">H$3</f>
        <v>Year 1</v>
      </c>
      <c r="I5" s="212" t="str">
        <f>I$3</f>
        <v>Year 2</v>
      </c>
      <c r="J5" s="212" t="str">
        <f>J$3</f>
        <v>Year 3</v>
      </c>
      <c r="K5" s="212" t="str">
        <f>K$3</f>
        <v>Year 4</v>
      </c>
      <c r="L5" s="213" t="str">
        <f>L$3</f>
        <v>Year 5</v>
      </c>
      <c r="M5" s="14"/>
      <c r="N5" s="16"/>
      <c r="O5" s="48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6"/>
    </row>
    <row r="6" spans="1:255" ht="16" customHeight="1">
      <c r="A6" s="133"/>
      <c r="B6" s="214"/>
      <c r="C6" s="215"/>
      <c r="D6" s="215"/>
      <c r="E6" s="215"/>
      <c r="F6" s="215"/>
      <c r="G6" s="216"/>
      <c r="H6" s="217"/>
      <c r="I6" s="218"/>
      <c r="J6" s="218"/>
      <c r="K6" s="218"/>
      <c r="L6" s="218"/>
      <c r="M6" s="14"/>
      <c r="N6" s="16"/>
      <c r="O6" s="48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6"/>
    </row>
    <row r="7" spans="1:255" ht="16" customHeight="1">
      <c r="A7" s="133"/>
      <c r="B7" s="219" t="s">
        <v>66</v>
      </c>
      <c r="C7" s="220"/>
      <c r="D7" s="221"/>
      <c r="E7" s="221"/>
      <c r="F7" s="221"/>
      <c r="G7" s="222"/>
      <c r="H7" s="223"/>
      <c r="I7" s="224"/>
      <c r="J7" s="224"/>
      <c r="K7" s="224"/>
      <c r="L7" s="224"/>
      <c r="M7" s="14"/>
      <c r="N7" s="16"/>
      <c r="O7" s="48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6"/>
    </row>
    <row r="8" spans="1:255" ht="16" customHeight="1">
      <c r="A8" s="133"/>
      <c r="B8" s="14"/>
      <c r="C8" s="35"/>
      <c r="D8" s="221"/>
      <c r="E8" s="221"/>
      <c r="F8" s="221"/>
      <c r="G8" s="222"/>
      <c r="H8" s="225"/>
      <c r="I8" s="226"/>
      <c r="J8" s="226"/>
      <c r="K8" s="226"/>
      <c r="L8" s="226"/>
      <c r="M8" s="14"/>
      <c r="N8" s="16"/>
      <c r="O8" s="48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6"/>
    </row>
    <row r="9" spans="1:255" ht="16" customHeight="1">
      <c r="A9" s="133"/>
      <c r="B9" s="14"/>
      <c r="C9" s="227" t="s">
        <v>67</v>
      </c>
      <c r="D9" s="228"/>
      <c r="E9" s="221"/>
      <c r="F9" s="221"/>
      <c r="G9" s="222"/>
      <c r="H9" s="229">
        <v>0.5</v>
      </c>
      <c r="I9" s="229">
        <v>0.8</v>
      </c>
      <c r="J9" s="229">
        <v>0.8</v>
      </c>
      <c r="K9" s="229">
        <v>0.8</v>
      </c>
      <c r="L9" s="229">
        <v>0.8</v>
      </c>
      <c r="M9" s="230"/>
      <c r="N9" s="16"/>
      <c r="O9" s="48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6"/>
    </row>
    <row r="10" spans="1:255" ht="16" customHeight="1">
      <c r="A10" s="133"/>
      <c r="B10" s="14"/>
      <c r="C10" s="227" t="s">
        <v>68</v>
      </c>
      <c r="D10" s="231">
        <v>100000</v>
      </c>
      <c r="E10" s="232"/>
      <c r="F10" s="221"/>
      <c r="G10" s="233" t="s">
        <v>69</v>
      </c>
      <c r="H10" s="234">
        <f>D10*(1+H9)</f>
        <v>150000</v>
      </c>
      <c r="I10" s="235">
        <f>H10*(1+I9)</f>
        <v>270000</v>
      </c>
      <c r="J10" s="235">
        <f>I10*(1+J9)</f>
        <v>486000</v>
      </c>
      <c r="K10" s="235">
        <f>J10*(1+K9)</f>
        <v>874800</v>
      </c>
      <c r="L10" s="236">
        <f>K10*(1+L9)</f>
        <v>1574640</v>
      </c>
      <c r="M10" s="230"/>
      <c r="N10" s="16"/>
      <c r="O10" s="48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6"/>
    </row>
    <row r="11" spans="1:255" ht="16" customHeight="1">
      <c r="A11" s="133"/>
      <c r="B11" s="14"/>
      <c r="C11" s="237" t="s">
        <v>70</v>
      </c>
      <c r="D11" s="238">
        <v>1.5</v>
      </c>
      <c r="E11" s="239"/>
      <c r="F11" s="240"/>
      <c r="G11" s="241"/>
      <c r="H11" s="242"/>
      <c r="I11" s="243"/>
      <c r="J11" s="243"/>
      <c r="K11" s="243"/>
      <c r="L11" s="243"/>
      <c r="M11" s="244"/>
      <c r="N11" s="16"/>
      <c r="O11" s="48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6"/>
    </row>
    <row r="12" spans="1:255" ht="16" customHeight="1">
      <c r="A12" s="133"/>
      <c r="B12" s="14"/>
      <c r="C12" s="189" t="s">
        <v>71</v>
      </c>
      <c r="D12" s="135"/>
      <c r="E12" s="135"/>
      <c r="F12" s="135"/>
      <c r="G12" s="245"/>
      <c r="H12" s="246">
        <f>H10/$D11</f>
        <v>100000</v>
      </c>
      <c r="I12" s="247">
        <f>I10/$D11</f>
        <v>180000</v>
      </c>
      <c r="J12" s="247">
        <f>J10/$D11</f>
        <v>324000</v>
      </c>
      <c r="K12" s="247">
        <f>K10/$D11</f>
        <v>583200</v>
      </c>
      <c r="L12" s="247">
        <f>L10/$D11</f>
        <v>1049760</v>
      </c>
      <c r="M12" s="244"/>
      <c r="N12" s="16"/>
      <c r="O12" s="48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6"/>
    </row>
    <row r="13" spans="1:255" ht="16" customHeight="1">
      <c r="A13" s="133"/>
      <c r="B13" s="14"/>
      <c r="C13" s="35"/>
      <c r="D13" s="35"/>
      <c r="E13" s="15"/>
      <c r="F13" s="15"/>
      <c r="G13" s="222"/>
      <c r="H13" s="248"/>
      <c r="I13" s="249"/>
      <c r="J13" s="249"/>
      <c r="K13" s="249"/>
      <c r="L13" s="249"/>
      <c r="M13" s="244"/>
      <c r="N13" s="16"/>
      <c r="O13" s="48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6"/>
    </row>
    <row r="14" spans="1:255" ht="16" customHeight="1">
      <c r="A14" s="133"/>
      <c r="B14" s="219" t="s">
        <v>72</v>
      </c>
      <c r="C14" s="35"/>
      <c r="D14" s="35"/>
      <c r="E14" s="15"/>
      <c r="F14" s="15"/>
      <c r="G14" s="222"/>
      <c r="H14" s="248"/>
      <c r="I14" s="249"/>
      <c r="J14" s="249"/>
      <c r="K14" s="249"/>
      <c r="L14" s="249"/>
      <c r="M14" s="244"/>
      <c r="N14" s="16"/>
      <c r="O14" s="48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6"/>
    </row>
    <row r="15" spans="1:255" ht="16" customHeight="1">
      <c r="A15" s="133"/>
      <c r="B15" s="14"/>
      <c r="C15" s="35"/>
      <c r="D15" s="35"/>
      <c r="E15" s="15"/>
      <c r="F15" s="15"/>
      <c r="G15" s="222"/>
      <c r="H15" s="250"/>
      <c r="I15" s="251"/>
      <c r="J15" s="251"/>
      <c r="K15" s="251"/>
      <c r="L15" s="251"/>
      <c r="M15" s="244"/>
      <c r="N15" s="16"/>
      <c r="O15" s="48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6"/>
    </row>
    <row r="16" spans="1:255" ht="16" customHeight="1">
      <c r="A16" s="133"/>
      <c r="B16" s="14"/>
      <c r="C16" s="504" t="s">
        <v>214</v>
      </c>
      <c r="D16" s="252"/>
      <c r="E16" s="15"/>
      <c r="F16" s="15"/>
      <c r="G16" s="222"/>
      <c r="H16" s="229">
        <v>0.15</v>
      </c>
      <c r="I16" s="229">
        <v>0.15</v>
      </c>
      <c r="J16" s="229">
        <v>0.15</v>
      </c>
      <c r="K16" s="229">
        <v>0.15</v>
      </c>
      <c r="L16" s="229">
        <v>0.15</v>
      </c>
      <c r="M16" s="232"/>
      <c r="N16" s="16"/>
      <c r="O16" s="48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6"/>
    </row>
    <row r="17" spans="1:255" ht="16" customHeight="1">
      <c r="A17" s="133"/>
      <c r="B17" s="14"/>
      <c r="C17" s="595" t="s">
        <v>239</v>
      </c>
      <c r="D17" s="254">
        <v>100000</v>
      </c>
      <c r="E17" s="230"/>
      <c r="F17" s="15"/>
      <c r="G17" s="233" t="s">
        <v>74</v>
      </c>
      <c r="H17" s="596">
        <f>D17*(1+H16)</f>
        <v>114999.99999999999</v>
      </c>
      <c r="I17" s="597">
        <f>H17*(1+I16)</f>
        <v>132249.99999999997</v>
      </c>
      <c r="J17" s="597">
        <f>I17*(1+J16)</f>
        <v>152087.49999999994</v>
      </c>
      <c r="K17" s="597">
        <f>J17*(1+K16)</f>
        <v>174900.62499999991</v>
      </c>
      <c r="L17" s="597">
        <f>K17*(1+L16)</f>
        <v>201135.71874999988</v>
      </c>
      <c r="M17" s="244"/>
      <c r="N17" s="16"/>
      <c r="O17" s="48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6"/>
    </row>
    <row r="18" spans="1:255" ht="16" customHeight="1">
      <c r="A18" s="133"/>
      <c r="B18" s="162"/>
      <c r="C18" s="255"/>
      <c r="D18" s="255"/>
      <c r="E18" s="163"/>
      <c r="F18" s="240"/>
      <c r="G18" s="241"/>
      <c r="H18" s="242"/>
      <c r="I18" s="243"/>
      <c r="J18" s="243"/>
      <c r="K18" s="243"/>
      <c r="L18" s="243"/>
      <c r="M18" s="14"/>
      <c r="N18" s="16"/>
      <c r="O18" s="48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6"/>
    </row>
    <row r="19" spans="1:255" ht="16" customHeight="1">
      <c r="A19" s="133"/>
      <c r="B19" s="256" t="s">
        <v>75</v>
      </c>
      <c r="C19" s="135"/>
      <c r="D19" s="135"/>
      <c r="E19" s="135"/>
      <c r="F19" s="135"/>
      <c r="G19" s="257"/>
      <c r="H19" s="246">
        <f>SUM(H12,H17)</f>
        <v>215000</v>
      </c>
      <c r="I19" s="247">
        <f>SUM(I12,I17)</f>
        <v>312250</v>
      </c>
      <c r="J19" s="247">
        <f>SUM(J12,J17)</f>
        <v>476087.49999999994</v>
      </c>
      <c r="K19" s="247">
        <f>SUM(K12,K17)</f>
        <v>758100.62499999988</v>
      </c>
      <c r="L19" s="247">
        <f>SUM(L12,L17)</f>
        <v>1250895.71875</v>
      </c>
      <c r="M19" s="14"/>
      <c r="N19" s="16"/>
      <c r="O19" s="48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6"/>
    </row>
    <row r="20" spans="1:255" ht="17" customHeight="1">
      <c r="A20" s="133"/>
      <c r="B20" s="14"/>
      <c r="C20" s="35"/>
      <c r="D20" s="35"/>
      <c r="E20" s="15"/>
      <c r="F20" s="221"/>
      <c r="G20" s="222"/>
      <c r="H20" s="248"/>
      <c r="I20" s="249"/>
      <c r="J20" s="249"/>
      <c r="K20" s="249"/>
      <c r="L20" s="249"/>
      <c r="M20" s="14"/>
      <c r="N20" s="16"/>
      <c r="O20" s="48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6"/>
    </row>
    <row r="21" spans="1:255" ht="16" customHeight="1">
      <c r="A21" s="133"/>
      <c r="B21" s="219" t="s">
        <v>76</v>
      </c>
      <c r="C21" s="220"/>
      <c r="D21" s="228"/>
      <c r="E21" s="221"/>
      <c r="F21" s="221"/>
      <c r="G21" s="222"/>
      <c r="H21" s="223"/>
      <c r="I21" s="224"/>
      <c r="J21" s="224"/>
      <c r="K21" s="224"/>
      <c r="L21" s="224"/>
      <c r="M21" s="14"/>
      <c r="N21" s="16"/>
      <c r="O21" s="48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6"/>
    </row>
    <row r="22" spans="1:255" ht="16" customHeight="1">
      <c r="A22" s="133"/>
      <c r="B22" s="14"/>
      <c r="C22" s="258" t="s">
        <v>77</v>
      </c>
      <c r="D22" s="259">
        <v>8.9999999999999993E-3</v>
      </c>
      <c r="E22" s="260"/>
      <c r="F22" s="240"/>
      <c r="G22" s="261"/>
      <c r="H22" s="262"/>
      <c r="I22" s="263"/>
      <c r="J22" s="263"/>
      <c r="K22" s="263"/>
      <c r="L22" s="263"/>
      <c r="M22" s="14"/>
      <c r="N22" s="16"/>
      <c r="O22" s="48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6"/>
    </row>
    <row r="23" spans="1:255" ht="16" customHeight="1">
      <c r="A23" s="133"/>
      <c r="B23" s="14"/>
      <c r="C23" s="189" t="s">
        <v>76</v>
      </c>
      <c r="D23" s="135"/>
      <c r="E23" s="135"/>
      <c r="F23" s="135"/>
      <c r="G23" s="245"/>
      <c r="H23" s="246">
        <f>$D22*H19</f>
        <v>1934.9999999999998</v>
      </c>
      <c r="I23" s="247">
        <f>$D22*I19</f>
        <v>2810.25</v>
      </c>
      <c r="J23" s="247">
        <f>$D22*J19</f>
        <v>4284.7874999999995</v>
      </c>
      <c r="K23" s="247">
        <f>$D22*K19</f>
        <v>6822.9056249999985</v>
      </c>
      <c r="L23" s="247">
        <f>$D22*L19</f>
        <v>11258.061468749998</v>
      </c>
      <c r="M23" s="14"/>
      <c r="N23" s="16"/>
      <c r="O23" s="48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6"/>
    </row>
    <row r="24" spans="1:255" ht="16" customHeight="1">
      <c r="A24" s="133"/>
      <c r="B24" s="14"/>
      <c r="C24" s="220"/>
      <c r="D24" s="221"/>
      <c r="E24" s="221"/>
      <c r="F24" s="221"/>
      <c r="G24" s="222"/>
      <c r="H24" s="248"/>
      <c r="I24" s="249"/>
      <c r="J24" s="249"/>
      <c r="K24" s="249"/>
      <c r="L24" s="249"/>
      <c r="M24" s="14"/>
      <c r="N24" s="16"/>
      <c r="O24" s="48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6"/>
    </row>
    <row r="25" spans="1:255" ht="16" customHeight="1">
      <c r="A25" s="133"/>
      <c r="B25" s="219" t="s">
        <v>78</v>
      </c>
      <c r="C25" s="220"/>
      <c r="D25" s="264" t="s">
        <v>79</v>
      </c>
      <c r="E25" s="265" t="s">
        <v>80</v>
      </c>
      <c r="F25" s="221"/>
      <c r="G25" s="222"/>
      <c r="H25" s="248"/>
      <c r="I25" s="249"/>
      <c r="J25" s="249"/>
      <c r="K25" s="249"/>
      <c r="L25" s="249"/>
      <c r="M25" s="14"/>
      <c r="N25" s="16"/>
      <c r="O25" s="48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6"/>
    </row>
    <row r="26" spans="1:255" ht="16" customHeight="1">
      <c r="A26" s="133"/>
      <c r="B26" s="14"/>
      <c r="C26" s="188" t="s">
        <v>216</v>
      </c>
      <c r="D26" s="266">
        <v>0.75</v>
      </c>
      <c r="E26" s="221"/>
      <c r="F26" s="221"/>
      <c r="G26" s="233" t="str">
        <f>"New Subscribers - "&amp;C26</f>
        <v>New Subscribers - A</v>
      </c>
      <c r="H26" s="248">
        <f t="shared" ref="H26:L29" si="1">INT($D26*H$23)</f>
        <v>1451</v>
      </c>
      <c r="I26" s="249">
        <f t="shared" si="1"/>
        <v>2107</v>
      </c>
      <c r="J26" s="249">
        <f t="shared" si="1"/>
        <v>3213</v>
      </c>
      <c r="K26" s="249">
        <f t="shared" si="1"/>
        <v>5117</v>
      </c>
      <c r="L26" s="249">
        <f t="shared" si="1"/>
        <v>8443</v>
      </c>
      <c r="M26" s="14"/>
      <c r="N26" s="16"/>
      <c r="O26" s="48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6"/>
    </row>
    <row r="27" spans="1:255" ht="16" customHeight="1">
      <c r="A27" s="133"/>
      <c r="B27" s="14"/>
      <c r="C27" s="188" t="s">
        <v>217</v>
      </c>
      <c r="D27" s="266">
        <v>0.25</v>
      </c>
      <c r="E27" s="221"/>
      <c r="F27" s="221"/>
      <c r="G27" s="233" t="str">
        <f>"New Subscribers - "&amp;C27</f>
        <v>New Subscribers - B</v>
      </c>
      <c r="H27" s="248">
        <f t="shared" si="1"/>
        <v>483</v>
      </c>
      <c r="I27" s="249">
        <f t="shared" si="1"/>
        <v>702</v>
      </c>
      <c r="J27" s="249">
        <f t="shared" si="1"/>
        <v>1071</v>
      </c>
      <c r="K27" s="249">
        <f t="shared" si="1"/>
        <v>1705</v>
      </c>
      <c r="L27" s="249">
        <f t="shared" si="1"/>
        <v>2814</v>
      </c>
      <c r="M27" s="14"/>
      <c r="N27" s="16"/>
      <c r="O27" s="48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6"/>
    </row>
    <row r="28" spans="1:255" ht="16" customHeight="1">
      <c r="A28" s="133"/>
      <c r="B28" s="14"/>
      <c r="C28" s="188" t="s">
        <v>218</v>
      </c>
      <c r="D28" s="266">
        <v>0</v>
      </c>
      <c r="E28" s="221"/>
      <c r="F28" s="221"/>
      <c r="G28" s="233" t="str">
        <f>"New Subscribers - "&amp;C28</f>
        <v>New Subscribers - C</v>
      </c>
      <c r="H28" s="248">
        <f t="shared" si="1"/>
        <v>0</v>
      </c>
      <c r="I28" s="249">
        <f>INT($D28*I$23)</f>
        <v>0</v>
      </c>
      <c r="J28" s="249">
        <f t="shared" si="1"/>
        <v>0</v>
      </c>
      <c r="K28" s="249">
        <f t="shared" si="1"/>
        <v>0</v>
      </c>
      <c r="L28" s="249">
        <f t="shared" si="1"/>
        <v>0</v>
      </c>
      <c r="M28" s="14"/>
      <c r="N28" s="16"/>
      <c r="O28" s="48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6"/>
    </row>
    <row r="29" spans="1:255" ht="16" customHeight="1">
      <c r="A29" s="133"/>
      <c r="B29" s="14"/>
      <c r="C29" s="188" t="s">
        <v>219</v>
      </c>
      <c r="D29" s="266">
        <v>0</v>
      </c>
      <c r="E29" s="221"/>
      <c r="F29" s="221"/>
      <c r="G29" s="233" t="str">
        <f>"New Subscribers - "&amp;C29</f>
        <v>New Subscribers - D</v>
      </c>
      <c r="H29" s="248">
        <f t="shared" si="1"/>
        <v>0</v>
      </c>
      <c r="I29" s="249">
        <f t="shared" si="1"/>
        <v>0</v>
      </c>
      <c r="J29" s="249">
        <f t="shared" si="1"/>
        <v>0</v>
      </c>
      <c r="K29" s="249">
        <f t="shared" si="1"/>
        <v>0</v>
      </c>
      <c r="L29" s="249">
        <f t="shared" si="1"/>
        <v>0</v>
      </c>
      <c r="M29" s="14"/>
      <c r="N29" s="16"/>
      <c r="O29" s="48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6"/>
    </row>
    <row r="30" spans="1:255" ht="16" customHeight="1">
      <c r="A30" s="133"/>
      <c r="B30" s="14"/>
      <c r="C30" s="220"/>
      <c r="D30" s="221"/>
      <c r="E30" s="221"/>
      <c r="F30" s="221"/>
      <c r="G30" s="222"/>
      <c r="H30" s="248"/>
      <c r="I30" s="249"/>
      <c r="J30" s="249"/>
      <c r="K30" s="249"/>
      <c r="L30" s="249"/>
      <c r="M30" s="14"/>
      <c r="N30" s="16"/>
      <c r="O30" s="48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6"/>
    </row>
    <row r="31" spans="1:255" ht="16" customHeight="1">
      <c r="A31" s="133"/>
      <c r="B31" s="219" t="s">
        <v>81</v>
      </c>
      <c r="C31" s="220"/>
      <c r="D31" s="264" t="s">
        <v>82</v>
      </c>
      <c r="E31" s="267"/>
      <c r="F31" s="221"/>
      <c r="G31" s="222"/>
      <c r="H31" s="268"/>
      <c r="I31" s="223"/>
      <c r="J31" s="224"/>
      <c r="K31" s="224"/>
      <c r="L31" s="224"/>
      <c r="M31" s="14"/>
      <c r="N31" s="16"/>
      <c r="O31" s="48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6"/>
    </row>
    <row r="32" spans="1:255" ht="16" customHeight="1">
      <c r="A32" s="133"/>
      <c r="B32" s="269"/>
      <c r="C32" s="270" t="str">
        <f>C46</f>
        <v>A</v>
      </c>
      <c r="D32" s="271">
        <v>0.02</v>
      </c>
      <c r="E32" s="272"/>
      <c r="F32" s="221"/>
      <c r="G32" s="222"/>
      <c r="H32" s="223">
        <f>INT($D32*(D38+H26))</f>
        <v>39</v>
      </c>
      <c r="I32" s="224">
        <f t="shared" ref="I32:L35" si="2">INT($D32*(H38+I26))</f>
        <v>81</v>
      </c>
      <c r="J32" s="224">
        <f t="shared" si="2"/>
        <v>143</v>
      </c>
      <c r="K32" s="224">
        <f t="shared" si="2"/>
        <v>243</v>
      </c>
      <c r="L32" s="224">
        <f t="shared" si="2"/>
        <v>407</v>
      </c>
      <c r="M32" s="14"/>
      <c r="N32" s="16"/>
      <c r="O32" s="48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6"/>
    </row>
    <row r="33" spans="1:255" ht="16" customHeight="1">
      <c r="A33" s="133"/>
      <c r="B33" s="269"/>
      <c r="C33" s="270" t="str">
        <f>C47</f>
        <v>B</v>
      </c>
      <c r="D33" s="271">
        <v>0.02</v>
      </c>
      <c r="E33" s="272"/>
      <c r="F33" s="221"/>
      <c r="G33" s="222"/>
      <c r="H33" s="223">
        <f>INT($D33*(D39+H27))</f>
        <v>13</v>
      </c>
      <c r="I33" s="224">
        <f t="shared" si="2"/>
        <v>27</v>
      </c>
      <c r="J33" s="224">
        <f t="shared" si="2"/>
        <v>47</v>
      </c>
      <c r="K33" s="224">
        <f t="shared" si="2"/>
        <v>81</v>
      </c>
      <c r="L33" s="224">
        <f t="shared" si="2"/>
        <v>135</v>
      </c>
      <c r="M33" s="14"/>
      <c r="N33" s="16"/>
      <c r="O33" s="48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6"/>
    </row>
    <row r="34" spans="1:255" ht="16" customHeight="1">
      <c r="A34" s="133"/>
      <c r="B34" s="269"/>
      <c r="C34" s="270" t="str">
        <f>C48</f>
        <v>C</v>
      </c>
      <c r="D34" s="271">
        <v>0.02</v>
      </c>
      <c r="E34" s="272"/>
      <c r="F34" s="221"/>
      <c r="G34" s="222"/>
      <c r="H34" s="223">
        <f>INT($D34*(D40+H28))</f>
        <v>0</v>
      </c>
      <c r="I34" s="224">
        <f t="shared" si="2"/>
        <v>0</v>
      </c>
      <c r="J34" s="224">
        <f t="shared" si="2"/>
        <v>0</v>
      </c>
      <c r="K34" s="224">
        <f t="shared" si="2"/>
        <v>0</v>
      </c>
      <c r="L34" s="224">
        <f t="shared" si="2"/>
        <v>0</v>
      </c>
      <c r="M34" s="14"/>
      <c r="N34" s="16"/>
      <c r="O34" s="48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6"/>
    </row>
    <row r="35" spans="1:255" ht="16" customHeight="1">
      <c r="A35" s="133"/>
      <c r="B35" s="269"/>
      <c r="C35" s="270" t="str">
        <f>C49</f>
        <v>D</v>
      </c>
      <c r="D35" s="271">
        <v>0.02</v>
      </c>
      <c r="E35" s="272"/>
      <c r="F35" s="221"/>
      <c r="G35" s="222"/>
      <c r="H35" s="223">
        <f>INT($D35*(D41+H29))</f>
        <v>0</v>
      </c>
      <c r="I35" s="224">
        <f t="shared" si="2"/>
        <v>0</v>
      </c>
      <c r="J35" s="224">
        <f t="shared" si="2"/>
        <v>0</v>
      </c>
      <c r="K35" s="224">
        <f t="shared" si="2"/>
        <v>0</v>
      </c>
      <c r="L35" s="224">
        <f t="shared" si="2"/>
        <v>0</v>
      </c>
      <c r="M35" s="14"/>
      <c r="N35" s="16"/>
      <c r="O35" s="48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6"/>
    </row>
    <row r="36" spans="1:255" ht="16" customHeight="1">
      <c r="A36" s="133"/>
      <c r="B36" s="269"/>
      <c r="C36" s="220"/>
      <c r="D36" s="273"/>
      <c r="E36" s="267"/>
      <c r="F36" s="221"/>
      <c r="G36" s="222"/>
      <c r="H36" s="223"/>
      <c r="I36" s="224"/>
      <c r="J36" s="224"/>
      <c r="K36" s="224"/>
      <c r="L36" s="224"/>
      <c r="M36" s="14"/>
      <c r="N36" s="16"/>
      <c r="O36" s="48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6"/>
    </row>
    <row r="37" spans="1:255" ht="16" customHeight="1">
      <c r="A37" s="133"/>
      <c r="B37" s="219" t="s">
        <v>83</v>
      </c>
      <c r="C37" s="220"/>
      <c r="D37" s="264" t="s">
        <v>220</v>
      </c>
      <c r="E37" s="267"/>
      <c r="F37" s="221"/>
      <c r="G37" s="222"/>
      <c r="H37" s="223"/>
      <c r="I37" s="224"/>
      <c r="J37" s="224"/>
      <c r="K37" s="224"/>
      <c r="L37" s="224"/>
      <c r="M37" s="14"/>
      <c r="N37" s="16"/>
      <c r="O37" s="48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6"/>
    </row>
    <row r="38" spans="1:255" ht="16" customHeight="1">
      <c r="A38" s="133"/>
      <c r="B38" s="269"/>
      <c r="C38" s="270" t="str">
        <f>C46</f>
        <v>A</v>
      </c>
      <c r="D38" s="274">
        <f>D42*D26</f>
        <v>535.71428571428578</v>
      </c>
      <c r="E38" s="272"/>
      <c r="F38" s="221"/>
      <c r="G38" s="233" t="str">
        <f>"Active Subscribers - "&amp;C38</f>
        <v>Active Subscribers - A</v>
      </c>
      <c r="H38" s="223">
        <f>D38+H26-H32</f>
        <v>1947.7142857142858</v>
      </c>
      <c r="I38" s="224">
        <f t="shared" ref="I38:L41" si="3">H38+I26-I32</f>
        <v>3973.7142857142858</v>
      </c>
      <c r="J38" s="224">
        <f t="shared" si="3"/>
        <v>7043.7142857142862</v>
      </c>
      <c r="K38" s="224">
        <f t="shared" si="3"/>
        <v>11917.714285714286</v>
      </c>
      <c r="L38" s="224">
        <f t="shared" si="3"/>
        <v>19953.714285714286</v>
      </c>
      <c r="M38" s="275"/>
      <c r="N38" s="276"/>
      <c r="O38" s="48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6"/>
    </row>
    <row r="39" spans="1:255" ht="16" customHeight="1">
      <c r="A39" s="133"/>
      <c r="B39" s="269"/>
      <c r="C39" s="270" t="str">
        <f>C47</f>
        <v>B</v>
      </c>
      <c r="D39" s="274">
        <f>D27*D42</f>
        <v>178.57142857142858</v>
      </c>
      <c r="E39" s="272"/>
      <c r="F39" s="221"/>
      <c r="G39" s="233" t="str">
        <f>"Active Subscribers - "&amp;C39</f>
        <v>Active Subscribers - B</v>
      </c>
      <c r="H39" s="223">
        <f>D39+H27-H33</f>
        <v>648.57142857142856</v>
      </c>
      <c r="I39" s="224">
        <f t="shared" si="3"/>
        <v>1323.5714285714284</v>
      </c>
      <c r="J39" s="224">
        <f t="shared" si="3"/>
        <v>2347.5714285714284</v>
      </c>
      <c r="K39" s="224">
        <f t="shared" si="3"/>
        <v>3971.5714285714284</v>
      </c>
      <c r="L39" s="224">
        <f t="shared" si="3"/>
        <v>6650.5714285714284</v>
      </c>
      <c r="M39" s="14"/>
      <c r="N39" s="16"/>
      <c r="O39" s="48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6"/>
    </row>
    <row r="40" spans="1:255" ht="16" customHeight="1">
      <c r="A40" s="133"/>
      <c r="B40" s="269"/>
      <c r="C40" s="270" t="str">
        <f>C48</f>
        <v>C</v>
      </c>
      <c r="D40" s="274">
        <v>0</v>
      </c>
      <c r="E40" s="272"/>
      <c r="F40" s="221"/>
      <c r="G40" s="233" t="str">
        <f>"Active Subscribers - "&amp;C40</f>
        <v>Active Subscribers - C</v>
      </c>
      <c r="H40" s="223">
        <f>D40+H28-H34</f>
        <v>0</v>
      </c>
      <c r="I40" s="224">
        <f t="shared" si="3"/>
        <v>0</v>
      </c>
      <c r="J40" s="224">
        <f t="shared" si="3"/>
        <v>0</v>
      </c>
      <c r="K40" s="224">
        <f t="shared" si="3"/>
        <v>0</v>
      </c>
      <c r="L40" s="224">
        <f t="shared" si="3"/>
        <v>0</v>
      </c>
      <c r="M40" s="14"/>
      <c r="N40" s="16"/>
      <c r="O40" s="48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6"/>
    </row>
    <row r="41" spans="1:255" ht="16" customHeight="1">
      <c r="A41" s="133"/>
      <c r="B41" s="269"/>
      <c r="C41" s="270" t="str">
        <f>C49</f>
        <v>D</v>
      </c>
      <c r="D41" s="274">
        <v>0</v>
      </c>
      <c r="E41" s="272"/>
      <c r="F41" s="221"/>
      <c r="G41" s="233" t="str">
        <f>"Active Subscribers - "&amp;C41</f>
        <v>Active Subscribers - D</v>
      </c>
      <c r="H41" s="223">
        <f>D41+H29-H35</f>
        <v>0</v>
      </c>
      <c r="I41" s="224">
        <f t="shared" si="3"/>
        <v>0</v>
      </c>
      <c r="J41" s="224">
        <f t="shared" si="3"/>
        <v>0</v>
      </c>
      <c r="K41" s="224">
        <f t="shared" si="3"/>
        <v>0</v>
      </c>
      <c r="L41" s="224">
        <f t="shared" si="3"/>
        <v>0</v>
      </c>
      <c r="M41" s="14"/>
      <c r="N41" s="16"/>
      <c r="O41" s="48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6"/>
    </row>
    <row r="42" spans="1:255" ht="16" customHeight="1">
      <c r="A42" s="133"/>
      <c r="B42" s="269"/>
      <c r="C42" s="270" t="s">
        <v>84</v>
      </c>
      <c r="D42" s="277">
        <f>300000/(35*12)</f>
        <v>714.28571428571433</v>
      </c>
      <c r="E42" s="272"/>
      <c r="F42" s="221"/>
      <c r="G42" s="233" t="str">
        <f>"Active Subscribers - "&amp;C42</f>
        <v>Active Subscribers - All Plans</v>
      </c>
      <c r="H42" s="278">
        <f>H38+H39+H40+H41</f>
        <v>2596.2857142857142</v>
      </c>
      <c r="I42" s="278">
        <f>I38+I39+I40+I41</f>
        <v>5297.2857142857138</v>
      </c>
      <c r="J42" s="278">
        <f>J38+J39+J40+J41</f>
        <v>9391.2857142857138</v>
      </c>
      <c r="K42" s="278">
        <f>K38+K39+K40+K41</f>
        <v>15889.285714285714</v>
      </c>
      <c r="L42" s="279">
        <f>L38+L39+L40+L41</f>
        <v>26604.285714285714</v>
      </c>
      <c r="M42" s="280"/>
      <c r="N42" s="16"/>
      <c r="O42" s="48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6"/>
    </row>
    <row r="43" spans="1:255" ht="16" customHeight="1">
      <c r="A43" s="133"/>
      <c r="B43" s="269"/>
      <c r="C43" s="220"/>
      <c r="D43" s="221"/>
      <c r="E43" s="267"/>
      <c r="F43" s="267"/>
      <c r="G43" s="222"/>
      <c r="H43" s="223"/>
      <c r="I43" s="224"/>
      <c r="J43" s="224"/>
      <c r="K43" s="224"/>
      <c r="L43" s="224"/>
      <c r="M43" s="14"/>
      <c r="N43" s="16"/>
      <c r="O43" s="48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6"/>
    </row>
    <row r="44" spans="1:255" ht="16" customHeight="1">
      <c r="A44" s="133"/>
      <c r="B44" s="219" t="s">
        <v>85</v>
      </c>
      <c r="C44" s="220"/>
      <c r="D44" s="221"/>
      <c r="E44" s="267"/>
      <c r="F44" s="267"/>
      <c r="G44" s="222"/>
      <c r="H44" s="223"/>
      <c r="I44" s="224"/>
      <c r="J44" s="224"/>
      <c r="K44" s="224"/>
      <c r="L44" s="224"/>
      <c r="M44" s="14"/>
      <c r="N44" s="16"/>
      <c r="O44" s="48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6"/>
    </row>
    <row r="45" spans="1:255" ht="16" customHeight="1">
      <c r="A45" s="133"/>
      <c r="B45" s="269"/>
      <c r="C45" s="220"/>
      <c r="D45" s="264" t="s">
        <v>86</v>
      </c>
      <c r="E45" s="267"/>
      <c r="F45" s="267"/>
      <c r="G45" s="222"/>
      <c r="H45" s="223"/>
      <c r="I45" s="224"/>
      <c r="J45" s="224"/>
      <c r="K45" s="224"/>
      <c r="L45" s="224"/>
      <c r="M45" s="281"/>
      <c r="N45" s="16"/>
      <c r="O45" s="48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6"/>
    </row>
    <row r="46" spans="1:255" ht="16" customHeight="1">
      <c r="A46" s="133"/>
      <c r="B46" s="269"/>
      <c r="C46" s="270" t="str">
        <f>C26</f>
        <v>A</v>
      </c>
      <c r="D46" s="282">
        <v>14.99</v>
      </c>
      <c r="E46" s="267"/>
      <c r="F46" s="267"/>
      <c r="G46" s="222"/>
      <c r="H46" s="234">
        <f>($D46*12)*H38</f>
        <v>350354.84571428574</v>
      </c>
      <c r="I46" s="234">
        <f t="shared" ref="I46:L46" si="4">($D46*12)*I38</f>
        <v>714791.72571428574</v>
      </c>
      <c r="J46" s="234">
        <f t="shared" si="4"/>
        <v>1267023.3257142857</v>
      </c>
      <c r="K46" s="234">
        <f t="shared" si="4"/>
        <v>2143758.4457142856</v>
      </c>
      <c r="L46" s="234">
        <f t="shared" si="4"/>
        <v>3589274.1257142858</v>
      </c>
      <c r="M46" s="491"/>
      <c r="N46" s="16"/>
      <c r="O46" s="48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6"/>
    </row>
    <row r="47" spans="1:255" ht="16" customHeight="1">
      <c r="A47" s="133"/>
      <c r="B47" s="269"/>
      <c r="C47" s="270" t="str">
        <f>C27</f>
        <v>B</v>
      </c>
      <c r="D47" s="282">
        <v>80</v>
      </c>
      <c r="E47" s="267"/>
      <c r="F47" s="267"/>
      <c r="G47" s="222"/>
      <c r="H47" s="234">
        <f t="shared" ref="H47:L49" si="5">($D47*12)*H39</f>
        <v>622628.57142857136</v>
      </c>
      <c r="I47" s="234">
        <f t="shared" si="5"/>
        <v>1270628.5714285714</v>
      </c>
      <c r="J47" s="234">
        <f t="shared" si="5"/>
        <v>2253668.5714285714</v>
      </c>
      <c r="K47" s="234">
        <f t="shared" si="5"/>
        <v>3812708.5714285714</v>
      </c>
      <c r="L47" s="234">
        <f t="shared" si="5"/>
        <v>6384548.5714285709</v>
      </c>
      <c r="M47" s="281"/>
      <c r="N47" s="16"/>
      <c r="O47" s="48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6"/>
    </row>
    <row r="48" spans="1:255" ht="16" customHeight="1">
      <c r="A48" s="133"/>
      <c r="B48" s="269"/>
      <c r="C48" s="270" t="str">
        <f>C28</f>
        <v>C</v>
      </c>
      <c r="D48" s="282">
        <v>0</v>
      </c>
      <c r="E48" s="267"/>
      <c r="F48" s="267"/>
      <c r="G48" s="222"/>
      <c r="H48" s="234">
        <f t="shared" si="5"/>
        <v>0</v>
      </c>
      <c r="I48" s="234">
        <f t="shared" si="5"/>
        <v>0</v>
      </c>
      <c r="J48" s="234">
        <f t="shared" si="5"/>
        <v>0</v>
      </c>
      <c r="K48" s="234">
        <f t="shared" si="5"/>
        <v>0</v>
      </c>
      <c r="L48" s="234">
        <f t="shared" si="5"/>
        <v>0</v>
      </c>
      <c r="M48" s="281"/>
      <c r="N48" s="16"/>
      <c r="O48" s="48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6"/>
    </row>
    <row r="49" spans="1:255" ht="16" customHeight="1">
      <c r="A49" s="133"/>
      <c r="B49" s="269"/>
      <c r="C49" s="270" t="str">
        <f>C29</f>
        <v>D</v>
      </c>
      <c r="D49" s="282">
        <v>0</v>
      </c>
      <c r="E49" s="267"/>
      <c r="F49" s="267"/>
      <c r="G49" s="222"/>
      <c r="H49" s="234">
        <f t="shared" si="5"/>
        <v>0</v>
      </c>
      <c r="I49" s="234">
        <f t="shared" si="5"/>
        <v>0</v>
      </c>
      <c r="J49" s="234">
        <f t="shared" si="5"/>
        <v>0</v>
      </c>
      <c r="K49" s="234">
        <f t="shared" si="5"/>
        <v>0</v>
      </c>
      <c r="L49" s="234">
        <f t="shared" si="5"/>
        <v>0</v>
      </c>
      <c r="M49" s="14"/>
      <c r="N49" s="16"/>
      <c r="O49" s="48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6"/>
    </row>
    <row r="50" spans="1:255" ht="17" customHeight="1">
      <c r="A50" s="133"/>
      <c r="B50" s="284"/>
      <c r="C50" s="285"/>
      <c r="D50" s="228"/>
      <c r="E50" s="322"/>
      <c r="F50" s="228"/>
      <c r="G50" s="288"/>
      <c r="H50" s="225"/>
      <c r="I50" s="226"/>
      <c r="J50" s="226"/>
      <c r="K50" s="226"/>
      <c r="L50" s="226"/>
      <c r="M50" s="14"/>
      <c r="N50" s="16"/>
      <c r="O50" s="48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6"/>
    </row>
    <row r="51" spans="1:255" ht="17" customHeight="1">
      <c r="A51" s="133"/>
      <c r="B51" s="175" t="str">
        <f>"Total "&amp;B5&amp;" Revenue"</f>
        <v>Total Subscriptions Revenue</v>
      </c>
      <c r="C51" s="289"/>
      <c r="D51" s="289"/>
      <c r="E51" s="289"/>
      <c r="F51" s="289"/>
      <c r="G51" s="290"/>
      <c r="H51" s="291">
        <f>SUM(H46:H49)</f>
        <v>972983.4171428571</v>
      </c>
      <c r="I51" s="180">
        <f>SUM(I46:I49)</f>
        <v>1985420.2971428572</v>
      </c>
      <c r="J51" s="180">
        <f>SUM(J46:J49)</f>
        <v>3520691.8971428573</v>
      </c>
      <c r="K51" s="180">
        <f>SUM(K46:K49)</f>
        <v>5956467.0171428565</v>
      </c>
      <c r="L51" s="180">
        <f>SUM(L46:L49)</f>
        <v>9973822.6971428562</v>
      </c>
      <c r="M51" s="14"/>
      <c r="N51" s="16"/>
      <c r="O51" s="48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6"/>
    </row>
    <row r="52" spans="1:255" ht="16" customHeight="1">
      <c r="A52" s="206"/>
      <c r="B52" s="287"/>
      <c r="C52" s="292"/>
      <c r="D52" s="287"/>
      <c r="E52" s="287"/>
      <c r="F52" s="287"/>
      <c r="G52" s="287"/>
      <c r="H52" s="293"/>
      <c r="I52" s="293"/>
      <c r="J52" s="293"/>
      <c r="K52" s="293"/>
      <c r="L52" s="293"/>
      <c r="M52" s="15"/>
      <c r="N52" s="16"/>
      <c r="O52" s="48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6"/>
    </row>
    <row r="53" spans="1:255" ht="20" customHeight="1">
      <c r="A53" s="210"/>
      <c r="B53" s="211" t="s">
        <v>240</v>
      </c>
      <c r="C53" s="201"/>
      <c r="D53" s="201"/>
      <c r="E53" s="201"/>
      <c r="F53" s="201"/>
      <c r="G53" s="202"/>
      <c r="H53" s="212" t="str">
        <f t="shared" si="0"/>
        <v>Year 1</v>
      </c>
      <c r="I53" s="212" t="str">
        <f>I$3</f>
        <v>Year 2</v>
      </c>
      <c r="J53" s="212" t="str">
        <f>J$3</f>
        <v>Year 3</v>
      </c>
      <c r="K53" s="212" t="str">
        <f>K$3</f>
        <v>Year 4</v>
      </c>
      <c r="L53" s="213" t="str">
        <f>L$3</f>
        <v>Year 5</v>
      </c>
      <c r="M53" s="14"/>
      <c r="N53" s="16"/>
      <c r="O53" s="48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6"/>
    </row>
    <row r="54" spans="1:255" ht="16" customHeight="1">
      <c r="A54" s="133"/>
      <c r="B54" s="214"/>
      <c r="C54" s="215"/>
      <c r="D54" s="215"/>
      <c r="E54" s="182"/>
      <c r="F54" s="182"/>
      <c r="G54" s="216"/>
      <c r="H54" s="217"/>
      <c r="I54" s="218"/>
      <c r="J54" s="218"/>
      <c r="K54" s="218"/>
      <c r="L54" s="218"/>
      <c r="M54" s="14"/>
      <c r="N54" s="16"/>
      <c r="O54" s="48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6"/>
    </row>
    <row r="55" spans="1:255" ht="16" customHeight="1">
      <c r="A55" s="133"/>
      <c r="B55" s="219" t="s">
        <v>221</v>
      </c>
      <c r="C55" s="35"/>
      <c r="D55" s="294" t="s">
        <v>87</v>
      </c>
      <c r="E55" s="15"/>
      <c r="F55" s="15"/>
      <c r="G55" s="295"/>
      <c r="H55" s="296"/>
      <c r="I55" s="297"/>
      <c r="J55" s="297"/>
      <c r="K55" s="297"/>
      <c r="L55" s="297"/>
      <c r="M55" s="14"/>
      <c r="N55" s="16"/>
      <c r="O55" s="48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6"/>
    </row>
    <row r="56" spans="1:255" ht="16" customHeight="1">
      <c r="A56" s="133"/>
      <c r="B56" s="298"/>
      <c r="C56" s="253" t="s">
        <v>88</v>
      </c>
      <c r="D56" s="254">
        <v>2</v>
      </c>
      <c r="E56" s="230"/>
      <c r="F56" s="15"/>
      <c r="G56" s="295"/>
      <c r="H56" s="225">
        <f>D56*(1+H57)</f>
        <v>2.8</v>
      </c>
      <c r="I56" s="226">
        <f>H56*(1+I57)</f>
        <v>3.9199999999999995</v>
      </c>
      <c r="J56" s="226">
        <f>I56*(1+J57)</f>
        <v>5.4879999999999987</v>
      </c>
      <c r="K56" s="226">
        <f>J56*(1+K57)</f>
        <v>7.6831999999999976</v>
      </c>
      <c r="L56" s="226">
        <f>K56*(1+L57)</f>
        <v>10.756479999999996</v>
      </c>
      <c r="M56" s="14"/>
      <c r="N56" s="16"/>
      <c r="O56" s="48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6"/>
    </row>
    <row r="57" spans="1:255" ht="16" customHeight="1">
      <c r="A57" s="133"/>
      <c r="B57" s="14"/>
      <c r="C57" s="227" t="s">
        <v>89</v>
      </c>
      <c r="D57" s="15"/>
      <c r="E57" s="15"/>
      <c r="F57" s="15"/>
      <c r="G57" s="295"/>
      <c r="H57" s="229">
        <v>0.4</v>
      </c>
      <c r="I57" s="229">
        <v>0.4</v>
      </c>
      <c r="J57" s="229">
        <v>0.4</v>
      </c>
      <c r="K57" s="229">
        <v>0.4</v>
      </c>
      <c r="L57" s="229">
        <v>0.4</v>
      </c>
      <c r="M57" s="230"/>
      <c r="N57" s="16"/>
      <c r="O57" s="48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6"/>
    </row>
    <row r="58" spans="1:255" ht="16" customHeight="1">
      <c r="A58" s="133"/>
      <c r="B58" s="14"/>
      <c r="C58" s="220"/>
      <c r="D58" s="294" t="s">
        <v>90</v>
      </c>
      <c r="E58" s="15"/>
      <c r="F58" s="221"/>
      <c r="G58" s="222"/>
      <c r="H58" s="223"/>
      <c r="I58" s="224"/>
      <c r="J58" s="224"/>
      <c r="K58" s="224"/>
      <c r="L58" s="224"/>
      <c r="M58" s="14"/>
      <c r="N58" s="16"/>
      <c r="O58" s="48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6"/>
    </row>
    <row r="59" spans="1:255" ht="16" customHeight="1">
      <c r="A59" s="133"/>
      <c r="B59" s="14"/>
      <c r="C59" s="270" t="s">
        <v>91</v>
      </c>
      <c r="D59" s="299">
        <v>0.01</v>
      </c>
      <c r="E59" s="272"/>
      <c r="F59" s="221"/>
      <c r="G59" s="222"/>
      <c r="H59" s="223">
        <f>INT($D59*D62)</f>
        <v>0</v>
      </c>
      <c r="I59" s="224">
        <f>INT($D59*H62)</f>
        <v>0</v>
      </c>
      <c r="J59" s="224">
        <f>INT($D59*I62)</f>
        <v>0</v>
      </c>
      <c r="K59" s="224">
        <f>INT($D59*J62)</f>
        <v>0</v>
      </c>
      <c r="L59" s="224">
        <f>INT($D59*K62)</f>
        <v>0</v>
      </c>
      <c r="M59" s="300"/>
      <c r="N59" s="301"/>
      <c r="O59" s="48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6"/>
    </row>
    <row r="60" spans="1:255" ht="16" customHeight="1">
      <c r="A60" s="133"/>
      <c r="B60" s="14"/>
      <c r="C60" s="220"/>
      <c r="D60" s="221"/>
      <c r="E60" s="221"/>
      <c r="F60" s="221"/>
      <c r="G60" s="222"/>
      <c r="H60" s="248"/>
      <c r="I60" s="249"/>
      <c r="J60" s="249"/>
      <c r="K60" s="249"/>
      <c r="L60" s="249"/>
      <c r="M60" s="14"/>
      <c r="N60" s="16"/>
      <c r="O60" s="48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6"/>
    </row>
    <row r="61" spans="1:255" ht="16" customHeight="1">
      <c r="A61" s="133"/>
      <c r="B61" s="14"/>
      <c r="C61" s="35"/>
      <c r="D61" s="294" t="s">
        <v>220</v>
      </c>
      <c r="E61" s="15"/>
      <c r="F61" s="15"/>
      <c r="G61" s="295"/>
      <c r="H61" s="223"/>
      <c r="I61" s="224"/>
      <c r="J61" s="224"/>
      <c r="K61" s="224"/>
      <c r="L61" s="224"/>
      <c r="M61" s="14"/>
      <c r="N61" s="16"/>
      <c r="O61" s="48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  <c r="HY61" s="15"/>
      <c r="HZ61" s="15"/>
      <c r="IA61" s="15"/>
      <c r="IB61" s="15"/>
      <c r="IC61" s="15"/>
      <c r="ID61" s="15"/>
      <c r="IE61" s="15"/>
      <c r="IF61" s="15"/>
      <c r="IG61" s="15"/>
      <c r="IH61" s="15"/>
      <c r="II61" s="15"/>
      <c r="IJ61" s="15"/>
      <c r="IK61" s="15"/>
      <c r="IL61" s="15"/>
      <c r="IM61" s="15"/>
      <c r="IN61" s="15"/>
      <c r="IO61" s="15"/>
      <c r="IP61" s="15"/>
      <c r="IQ61" s="15"/>
      <c r="IR61" s="15"/>
      <c r="IS61" s="15"/>
      <c r="IT61" s="15"/>
      <c r="IU61" s="16"/>
    </row>
    <row r="62" spans="1:255" ht="16" customHeight="1">
      <c r="A62" s="133"/>
      <c r="B62" s="14"/>
      <c r="C62" s="253" t="s">
        <v>92</v>
      </c>
      <c r="D62" s="254">
        <v>0</v>
      </c>
      <c r="E62" s="230"/>
      <c r="F62" s="15"/>
      <c r="G62" s="295"/>
      <c r="H62" s="223">
        <f>D62+H56-H59</f>
        <v>2.8</v>
      </c>
      <c r="I62" s="224">
        <f>H62+I56-I59</f>
        <v>6.7199999999999989</v>
      </c>
      <c r="J62" s="224">
        <f>I62+J56-J59</f>
        <v>12.207999999999998</v>
      </c>
      <c r="K62" s="224">
        <f>J62+K56-K59</f>
        <v>19.891199999999998</v>
      </c>
      <c r="L62" s="224">
        <f>K62+L56-L59</f>
        <v>30.647679999999994</v>
      </c>
      <c r="M62" s="14"/>
      <c r="N62" s="16"/>
      <c r="O62" s="48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  <c r="IQ62" s="15"/>
      <c r="IR62" s="15"/>
      <c r="IS62" s="15"/>
      <c r="IT62" s="15"/>
      <c r="IU62" s="16"/>
    </row>
    <row r="63" spans="1:255" ht="16" customHeight="1">
      <c r="A63" s="133"/>
      <c r="B63" s="14"/>
      <c r="C63" s="220"/>
      <c r="D63" s="221"/>
      <c r="E63" s="221"/>
      <c r="F63" s="221"/>
      <c r="G63" s="222"/>
      <c r="H63" s="248"/>
      <c r="I63" s="249"/>
      <c r="J63" s="249"/>
      <c r="K63" s="249"/>
      <c r="L63" s="249"/>
      <c r="M63" s="14"/>
      <c r="N63" s="16"/>
      <c r="O63" s="48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5"/>
      <c r="IJ63" s="15"/>
      <c r="IK63" s="15"/>
      <c r="IL63" s="15"/>
      <c r="IM63" s="15"/>
      <c r="IN63" s="15"/>
      <c r="IO63" s="15"/>
      <c r="IP63" s="15"/>
      <c r="IQ63" s="15"/>
      <c r="IR63" s="15"/>
      <c r="IS63" s="15"/>
      <c r="IT63" s="15"/>
      <c r="IU63" s="16"/>
    </row>
    <row r="64" spans="1:255" ht="16" customHeight="1">
      <c r="A64" s="133"/>
      <c r="B64" s="219" t="s">
        <v>28</v>
      </c>
      <c r="C64" s="220"/>
      <c r="D64" s="228"/>
      <c r="E64" s="221"/>
      <c r="F64" s="221"/>
      <c r="G64" s="222"/>
      <c r="H64" s="248"/>
      <c r="I64" s="249"/>
      <c r="J64" s="249"/>
      <c r="K64" s="249"/>
      <c r="L64" s="249"/>
      <c r="M64" s="14"/>
      <c r="N64" s="16"/>
      <c r="O64" s="48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  <c r="IM64" s="15"/>
      <c r="IN64" s="15"/>
      <c r="IO64" s="15"/>
      <c r="IP64" s="15"/>
      <c r="IQ64" s="15"/>
      <c r="IR64" s="15"/>
      <c r="IS64" s="15"/>
      <c r="IT64" s="15"/>
      <c r="IU64" s="16"/>
    </row>
    <row r="65" spans="1:255" ht="16" customHeight="1">
      <c r="A65" s="133"/>
      <c r="B65" s="14"/>
      <c r="C65" s="270" t="s">
        <v>93</v>
      </c>
      <c r="D65" s="283">
        <v>25000</v>
      </c>
      <c r="E65" s="232"/>
      <c r="F65" s="221"/>
      <c r="G65" s="222"/>
      <c r="H65" s="234">
        <f>H62*$D65</f>
        <v>70000</v>
      </c>
      <c r="I65" s="235">
        <f>I62*$D65</f>
        <v>167999.99999999997</v>
      </c>
      <c r="J65" s="235">
        <f>J62*$D65</f>
        <v>305199.99999999994</v>
      </c>
      <c r="K65" s="235">
        <f>K62*$D65</f>
        <v>497279.99999999994</v>
      </c>
      <c r="L65" s="235">
        <f>L62*$D65</f>
        <v>766191.99999999988</v>
      </c>
      <c r="M65" s="14"/>
      <c r="N65" s="16"/>
      <c r="O65" s="48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15"/>
      <c r="IR65" s="15"/>
      <c r="IS65" s="15"/>
      <c r="IT65" s="15"/>
      <c r="IU65" s="16"/>
    </row>
    <row r="66" spans="1:255" ht="17" customHeight="1">
      <c r="A66" s="133"/>
      <c r="B66" s="171"/>
      <c r="C66" s="285"/>
      <c r="D66" s="228"/>
      <c r="E66" s="228"/>
      <c r="F66" s="228"/>
      <c r="G66" s="288"/>
      <c r="H66" s="302"/>
      <c r="I66" s="191"/>
      <c r="J66" s="191"/>
      <c r="K66" s="191"/>
      <c r="L66" s="191"/>
      <c r="M66" s="14"/>
      <c r="N66" s="16"/>
      <c r="O66" s="48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  <c r="HD66" s="15"/>
      <c r="HE66" s="15"/>
      <c r="HF66" s="15"/>
      <c r="HG66" s="15"/>
      <c r="HH66" s="15"/>
      <c r="HI66" s="15"/>
      <c r="HJ66" s="15"/>
      <c r="HK66" s="15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  <c r="HY66" s="15"/>
      <c r="HZ66" s="15"/>
      <c r="IA66" s="15"/>
      <c r="IB66" s="15"/>
      <c r="IC66" s="15"/>
      <c r="ID66" s="15"/>
      <c r="IE66" s="15"/>
      <c r="IF66" s="15"/>
      <c r="IG66" s="15"/>
      <c r="IH66" s="15"/>
      <c r="II66" s="15"/>
      <c r="IJ66" s="15"/>
      <c r="IK66" s="15"/>
      <c r="IL66" s="15"/>
      <c r="IM66" s="15"/>
      <c r="IN66" s="15"/>
      <c r="IO66" s="15"/>
      <c r="IP66" s="15"/>
      <c r="IQ66" s="15"/>
      <c r="IR66" s="15"/>
      <c r="IS66" s="15"/>
      <c r="IT66" s="15"/>
      <c r="IU66" s="16"/>
    </row>
    <row r="67" spans="1:255" ht="17" customHeight="1">
      <c r="A67" s="133"/>
      <c r="B67" s="175" t="str">
        <f>"Total "&amp;B53&amp;" Revenue"</f>
        <v>Total Large Recurring Contracts Revenue</v>
      </c>
      <c r="C67" s="289"/>
      <c r="D67" s="289"/>
      <c r="E67" s="289"/>
      <c r="F67" s="289"/>
      <c r="G67" s="290"/>
      <c r="H67" s="291">
        <f>H65</f>
        <v>70000</v>
      </c>
      <c r="I67" s="180">
        <f>I65</f>
        <v>167999.99999999997</v>
      </c>
      <c r="J67" s="180">
        <f>J65</f>
        <v>305199.99999999994</v>
      </c>
      <c r="K67" s="180">
        <f>K65</f>
        <v>497279.99999999994</v>
      </c>
      <c r="L67" s="180">
        <f>L65</f>
        <v>766191.99999999988</v>
      </c>
      <c r="M67" s="14"/>
      <c r="N67" s="16"/>
      <c r="O67" s="48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15"/>
      <c r="HC67" s="15"/>
      <c r="HD67" s="15"/>
      <c r="HE67" s="15"/>
      <c r="HF67" s="15"/>
      <c r="HG67" s="15"/>
      <c r="HH67" s="15"/>
      <c r="HI67" s="15"/>
      <c r="HJ67" s="15"/>
      <c r="HK67" s="15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  <c r="HY67" s="15"/>
      <c r="HZ67" s="15"/>
      <c r="IA67" s="15"/>
      <c r="IB67" s="15"/>
      <c r="IC67" s="15"/>
      <c r="ID67" s="15"/>
      <c r="IE67" s="15"/>
      <c r="IF67" s="15"/>
      <c r="IG67" s="15"/>
      <c r="IH67" s="15"/>
      <c r="II67" s="15"/>
      <c r="IJ67" s="15"/>
      <c r="IK67" s="15"/>
      <c r="IL67" s="15"/>
      <c r="IM67" s="15"/>
      <c r="IN67" s="15"/>
      <c r="IO67" s="15"/>
      <c r="IP67" s="15"/>
      <c r="IQ67" s="15"/>
      <c r="IR67" s="15"/>
      <c r="IS67" s="15"/>
      <c r="IT67" s="15"/>
      <c r="IU67" s="16"/>
    </row>
    <row r="68" spans="1:255" ht="17" customHeight="1">
      <c r="A68" s="48"/>
      <c r="B68" s="303"/>
      <c r="C68" s="303"/>
      <c r="D68" s="303"/>
      <c r="E68" s="303"/>
      <c r="F68" s="303"/>
      <c r="G68" s="304"/>
      <c r="H68" s="305"/>
      <c r="I68" s="306"/>
      <c r="J68" s="306"/>
      <c r="K68" s="306"/>
      <c r="L68" s="306"/>
      <c r="M68" s="15"/>
      <c r="N68" s="16"/>
      <c r="O68" s="48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  <c r="HH68" s="15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  <c r="IA68" s="15"/>
      <c r="IB68" s="15"/>
      <c r="IC68" s="15"/>
      <c r="ID68" s="15"/>
      <c r="IE68" s="15"/>
      <c r="IF68" s="15"/>
      <c r="IG68" s="15"/>
      <c r="IH68" s="15"/>
      <c r="II68" s="15"/>
      <c r="IJ68" s="15"/>
      <c r="IK68" s="15"/>
      <c r="IL68" s="15"/>
      <c r="IM68" s="15"/>
      <c r="IN68" s="15"/>
      <c r="IO68" s="15"/>
      <c r="IP68" s="15"/>
      <c r="IQ68" s="15"/>
      <c r="IR68" s="15"/>
      <c r="IS68" s="15"/>
      <c r="IT68" s="15"/>
      <c r="IU68" s="16"/>
    </row>
    <row r="69" spans="1:255" ht="20" customHeight="1">
      <c r="A69" s="210"/>
      <c r="B69" s="211" t="s">
        <v>241</v>
      </c>
      <c r="C69" s="201"/>
      <c r="D69" s="201"/>
      <c r="E69" s="201"/>
      <c r="F69" s="201"/>
      <c r="G69" s="202"/>
      <c r="H69" s="212" t="str">
        <f t="shared" ref="H69:H100" si="6">H$3</f>
        <v>Year 1</v>
      </c>
      <c r="I69" s="212" t="str">
        <f>I$3</f>
        <v>Year 2</v>
      </c>
      <c r="J69" s="212" t="str">
        <f>J$3</f>
        <v>Year 3</v>
      </c>
      <c r="K69" s="212" t="str">
        <f>K$3</f>
        <v>Year 4</v>
      </c>
      <c r="L69" s="213" t="str">
        <f>L$3</f>
        <v>Year 5</v>
      </c>
      <c r="M69" s="14"/>
      <c r="N69" s="16"/>
      <c r="O69" s="48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  <c r="IQ69" s="15"/>
      <c r="IR69" s="15"/>
      <c r="IS69" s="15"/>
      <c r="IT69" s="15"/>
      <c r="IU69" s="16"/>
    </row>
    <row r="70" spans="1:255" ht="16" customHeight="1">
      <c r="A70" s="133"/>
      <c r="B70" s="214"/>
      <c r="C70" s="215"/>
      <c r="D70" s="215"/>
      <c r="E70" s="182"/>
      <c r="F70" s="182"/>
      <c r="G70" s="216"/>
      <c r="H70" s="217"/>
      <c r="I70" s="218"/>
      <c r="J70" s="218"/>
      <c r="K70" s="218"/>
      <c r="L70" s="218"/>
      <c r="M70" s="14"/>
      <c r="N70" s="16"/>
      <c r="O70" s="48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6"/>
    </row>
    <row r="71" spans="1:255" ht="16" customHeight="1">
      <c r="A71" s="133"/>
      <c r="B71" s="219" t="s">
        <v>66</v>
      </c>
      <c r="C71" s="220"/>
      <c r="D71" s="221"/>
      <c r="E71" s="221"/>
      <c r="F71" s="221"/>
      <c r="G71" s="222"/>
      <c r="H71" s="223"/>
      <c r="I71" s="224"/>
      <c r="J71" s="224"/>
      <c r="K71" s="224"/>
      <c r="L71" s="224"/>
      <c r="M71" s="14"/>
      <c r="N71" s="16"/>
      <c r="O71" s="48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  <c r="II71" s="15"/>
      <c r="IJ71" s="15"/>
      <c r="IK71" s="15"/>
      <c r="IL71" s="15"/>
      <c r="IM71" s="15"/>
      <c r="IN71" s="15"/>
      <c r="IO71" s="15"/>
      <c r="IP71" s="15"/>
      <c r="IQ71" s="15"/>
      <c r="IR71" s="15"/>
      <c r="IS71" s="15"/>
      <c r="IT71" s="15"/>
      <c r="IU71" s="16"/>
    </row>
    <row r="72" spans="1:255" ht="16" customHeight="1">
      <c r="A72" s="133"/>
      <c r="B72" s="14"/>
      <c r="C72" s="35"/>
      <c r="D72" s="221"/>
      <c r="E72" s="221"/>
      <c r="F72" s="221"/>
      <c r="G72" s="222"/>
      <c r="H72" s="225"/>
      <c r="I72" s="226"/>
      <c r="J72" s="226"/>
      <c r="K72" s="226"/>
      <c r="L72" s="226"/>
      <c r="M72" s="14"/>
      <c r="N72" s="16"/>
      <c r="O72" s="48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  <c r="IB72" s="15"/>
      <c r="IC72" s="15"/>
      <c r="ID72" s="15"/>
      <c r="IE72" s="15"/>
      <c r="IF72" s="15"/>
      <c r="IG72" s="15"/>
      <c r="IH72" s="15"/>
      <c r="II72" s="15"/>
      <c r="IJ72" s="15"/>
      <c r="IK72" s="15"/>
      <c r="IL72" s="15"/>
      <c r="IM72" s="15"/>
      <c r="IN72" s="15"/>
      <c r="IO72" s="15"/>
      <c r="IP72" s="15"/>
      <c r="IQ72" s="15"/>
      <c r="IR72" s="15"/>
      <c r="IS72" s="15"/>
      <c r="IT72" s="15"/>
      <c r="IU72" s="16"/>
    </row>
    <row r="73" spans="1:255" ht="16" customHeight="1">
      <c r="A73" s="133"/>
      <c r="B73" s="14"/>
      <c r="C73" s="227" t="s">
        <v>67</v>
      </c>
      <c r="D73" s="228"/>
      <c r="E73" s="221"/>
      <c r="F73" s="221"/>
      <c r="G73" s="222"/>
      <c r="H73" s="229">
        <v>0.4</v>
      </c>
      <c r="I73" s="229">
        <v>0.4</v>
      </c>
      <c r="J73" s="229">
        <v>0.4</v>
      </c>
      <c r="K73" s="229">
        <v>0.4</v>
      </c>
      <c r="L73" s="229">
        <v>0.4</v>
      </c>
      <c r="M73" s="230"/>
      <c r="N73" s="16"/>
      <c r="O73" s="48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  <c r="HD73" s="15"/>
      <c r="HE73" s="15"/>
      <c r="HF73" s="15"/>
      <c r="HG73" s="15"/>
      <c r="HH73" s="15"/>
      <c r="HI73" s="15"/>
      <c r="HJ73" s="15"/>
      <c r="HK73" s="15"/>
      <c r="HL73" s="15"/>
      <c r="HM73" s="15"/>
      <c r="HN73" s="15"/>
      <c r="HO73" s="15"/>
      <c r="HP73" s="15"/>
      <c r="HQ73" s="15"/>
      <c r="HR73" s="15"/>
      <c r="HS73" s="15"/>
      <c r="HT73" s="15"/>
      <c r="HU73" s="15"/>
      <c r="HV73" s="15"/>
      <c r="HW73" s="15"/>
      <c r="HX73" s="15"/>
      <c r="HY73" s="15"/>
      <c r="HZ73" s="15"/>
      <c r="IA73" s="15"/>
      <c r="IB73" s="15"/>
      <c r="IC73" s="15"/>
      <c r="ID73" s="15"/>
      <c r="IE73" s="15"/>
      <c r="IF73" s="15"/>
      <c r="IG73" s="15"/>
      <c r="IH73" s="15"/>
      <c r="II73" s="15"/>
      <c r="IJ73" s="15"/>
      <c r="IK73" s="15"/>
      <c r="IL73" s="15"/>
      <c r="IM73" s="15"/>
      <c r="IN73" s="15"/>
      <c r="IO73" s="15"/>
      <c r="IP73" s="15"/>
      <c r="IQ73" s="15"/>
      <c r="IR73" s="15"/>
      <c r="IS73" s="15"/>
      <c r="IT73" s="15"/>
      <c r="IU73" s="16"/>
    </row>
    <row r="74" spans="1:255" ht="16" customHeight="1">
      <c r="A74" s="133"/>
      <c r="B74" s="14"/>
      <c r="C74" s="227" t="s">
        <v>68</v>
      </c>
      <c r="D74" s="231">
        <v>40000</v>
      </c>
      <c r="E74" s="232"/>
      <c r="F74" s="221"/>
      <c r="G74" s="233" t="s">
        <v>69</v>
      </c>
      <c r="H74" s="234">
        <f>D74*(1+H73)</f>
        <v>56000</v>
      </c>
      <c r="I74" s="235">
        <f>H74*(1+I73)</f>
        <v>78400</v>
      </c>
      <c r="J74" s="235">
        <f>I74*(1+J73)</f>
        <v>109760</v>
      </c>
      <c r="K74" s="235">
        <f>J74*(1+K73)</f>
        <v>153664</v>
      </c>
      <c r="L74" s="236">
        <f>K74*(1+L73)</f>
        <v>215129.59999999998</v>
      </c>
      <c r="M74" s="230"/>
      <c r="N74" s="16"/>
      <c r="O74" s="48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  <c r="HY74" s="15"/>
      <c r="HZ74" s="15"/>
      <c r="IA74" s="15"/>
      <c r="IB74" s="15"/>
      <c r="IC74" s="15"/>
      <c r="ID74" s="15"/>
      <c r="IE74" s="15"/>
      <c r="IF74" s="15"/>
      <c r="IG74" s="15"/>
      <c r="IH74" s="15"/>
      <c r="II74" s="15"/>
      <c r="IJ74" s="15"/>
      <c r="IK74" s="15"/>
      <c r="IL74" s="15"/>
      <c r="IM74" s="15"/>
      <c r="IN74" s="15"/>
      <c r="IO74" s="15"/>
      <c r="IP74" s="15"/>
      <c r="IQ74" s="15"/>
      <c r="IR74" s="15"/>
      <c r="IS74" s="15"/>
      <c r="IT74" s="15"/>
      <c r="IU74" s="16"/>
    </row>
    <row r="75" spans="1:255" ht="16" customHeight="1">
      <c r="A75" s="133"/>
      <c r="B75" s="14"/>
      <c r="C75" s="237" t="s">
        <v>70</v>
      </c>
      <c r="D75" s="238">
        <v>1</v>
      </c>
      <c r="E75" s="239"/>
      <c r="F75" s="240"/>
      <c r="G75" s="241"/>
      <c r="H75" s="242"/>
      <c r="I75" s="243"/>
      <c r="J75" s="243"/>
      <c r="K75" s="243"/>
      <c r="L75" s="243"/>
      <c r="M75" s="244"/>
      <c r="N75" s="16"/>
      <c r="O75" s="48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GR75" s="15"/>
      <c r="GS75" s="15"/>
      <c r="GT75" s="15"/>
      <c r="GU75" s="15"/>
      <c r="GV75" s="15"/>
      <c r="GW75" s="15"/>
      <c r="GX75" s="15"/>
      <c r="GY75" s="15"/>
      <c r="GZ75" s="15"/>
      <c r="HA75" s="15"/>
      <c r="HB75" s="15"/>
      <c r="HC75" s="15"/>
      <c r="HD75" s="15"/>
      <c r="HE75" s="15"/>
      <c r="HF75" s="15"/>
      <c r="HG75" s="15"/>
      <c r="HH75" s="15"/>
      <c r="HI75" s="15"/>
      <c r="HJ75" s="15"/>
      <c r="HK75" s="15"/>
      <c r="HL75" s="15"/>
      <c r="HM75" s="15"/>
      <c r="HN75" s="15"/>
      <c r="HO75" s="15"/>
      <c r="HP75" s="15"/>
      <c r="HQ75" s="15"/>
      <c r="HR75" s="15"/>
      <c r="HS75" s="15"/>
      <c r="HT75" s="15"/>
      <c r="HU75" s="15"/>
      <c r="HV75" s="15"/>
      <c r="HW75" s="15"/>
      <c r="HX75" s="15"/>
      <c r="HY75" s="15"/>
      <c r="HZ75" s="15"/>
      <c r="IA75" s="15"/>
      <c r="IB75" s="15"/>
      <c r="IC75" s="15"/>
      <c r="ID75" s="15"/>
      <c r="IE75" s="15"/>
      <c r="IF75" s="15"/>
      <c r="IG75" s="15"/>
      <c r="IH75" s="15"/>
      <c r="II75" s="15"/>
      <c r="IJ75" s="15"/>
      <c r="IK75" s="15"/>
      <c r="IL75" s="15"/>
      <c r="IM75" s="15"/>
      <c r="IN75" s="15"/>
      <c r="IO75" s="15"/>
      <c r="IP75" s="15"/>
      <c r="IQ75" s="15"/>
      <c r="IR75" s="15"/>
      <c r="IS75" s="15"/>
      <c r="IT75" s="15"/>
      <c r="IU75" s="16"/>
    </row>
    <row r="76" spans="1:255" ht="16" customHeight="1">
      <c r="A76" s="133"/>
      <c r="B76" s="14"/>
      <c r="C76" s="189" t="s">
        <v>71</v>
      </c>
      <c r="D76" s="135"/>
      <c r="E76" s="135"/>
      <c r="F76" s="135"/>
      <c r="G76" s="245"/>
      <c r="H76" s="246">
        <f>H74/$D75</f>
        <v>56000</v>
      </c>
      <c r="I76" s="247">
        <f>I74/$D75</f>
        <v>78400</v>
      </c>
      <c r="J76" s="247">
        <f>J74/$D75</f>
        <v>109760</v>
      </c>
      <c r="K76" s="247">
        <f>K74/$D75</f>
        <v>153664</v>
      </c>
      <c r="L76" s="247">
        <f>L74/$D75</f>
        <v>215129.59999999998</v>
      </c>
      <c r="M76" s="244"/>
      <c r="N76" s="16"/>
      <c r="O76" s="48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15"/>
      <c r="HH76" s="15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  <c r="HY76" s="15"/>
      <c r="HZ76" s="15"/>
      <c r="IA76" s="15"/>
      <c r="IB76" s="15"/>
      <c r="IC76" s="15"/>
      <c r="ID76" s="15"/>
      <c r="IE76" s="15"/>
      <c r="IF76" s="15"/>
      <c r="IG76" s="15"/>
      <c r="IH76" s="15"/>
      <c r="II76" s="15"/>
      <c r="IJ76" s="15"/>
      <c r="IK76" s="15"/>
      <c r="IL76" s="15"/>
      <c r="IM76" s="15"/>
      <c r="IN76" s="15"/>
      <c r="IO76" s="15"/>
      <c r="IP76" s="15"/>
      <c r="IQ76" s="15"/>
      <c r="IR76" s="15"/>
      <c r="IS76" s="15"/>
      <c r="IT76" s="15"/>
      <c r="IU76" s="16"/>
    </row>
    <row r="77" spans="1:255" ht="16" customHeight="1">
      <c r="A77" s="133"/>
      <c r="B77" s="14"/>
      <c r="C77" s="35"/>
      <c r="D77" s="35"/>
      <c r="E77" s="15"/>
      <c r="F77" s="15"/>
      <c r="G77" s="222"/>
      <c r="H77" s="248"/>
      <c r="I77" s="249"/>
      <c r="J77" s="249"/>
      <c r="K77" s="249"/>
      <c r="L77" s="249"/>
      <c r="M77" s="244"/>
      <c r="N77" s="16"/>
      <c r="O77" s="48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/>
      <c r="HF77" s="15"/>
      <c r="HG77" s="15"/>
      <c r="HH77" s="15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  <c r="HY77" s="15"/>
      <c r="HZ77" s="15"/>
      <c r="IA77" s="15"/>
      <c r="IB77" s="15"/>
      <c r="IC77" s="15"/>
      <c r="ID77" s="15"/>
      <c r="IE77" s="15"/>
      <c r="IF77" s="15"/>
      <c r="IG77" s="15"/>
      <c r="IH77" s="15"/>
      <c r="II77" s="15"/>
      <c r="IJ77" s="15"/>
      <c r="IK77" s="15"/>
      <c r="IL77" s="15"/>
      <c r="IM77" s="15"/>
      <c r="IN77" s="15"/>
      <c r="IO77" s="15"/>
      <c r="IP77" s="15"/>
      <c r="IQ77" s="15"/>
      <c r="IR77" s="15"/>
      <c r="IS77" s="15"/>
      <c r="IT77" s="15"/>
      <c r="IU77" s="16"/>
    </row>
    <row r="78" spans="1:255" ht="16" customHeight="1">
      <c r="A78" s="133"/>
      <c r="B78" s="219" t="s">
        <v>72</v>
      </c>
      <c r="C78" s="35"/>
      <c r="D78" s="35"/>
      <c r="E78" s="15"/>
      <c r="F78" s="15"/>
      <c r="G78" s="222"/>
      <c r="H78" s="248"/>
      <c r="I78" s="249"/>
      <c r="J78" s="249"/>
      <c r="K78" s="249"/>
      <c r="L78" s="249"/>
      <c r="M78" s="244"/>
      <c r="N78" s="16"/>
      <c r="O78" s="48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  <c r="HD78" s="15"/>
      <c r="HE78" s="15"/>
      <c r="HF78" s="15"/>
      <c r="HG78" s="15"/>
      <c r="HH78" s="15"/>
      <c r="HI78" s="15"/>
      <c r="HJ78" s="15"/>
      <c r="HK78" s="15"/>
      <c r="HL78" s="15"/>
      <c r="HM78" s="15"/>
      <c r="HN78" s="15"/>
      <c r="HO78" s="15"/>
      <c r="HP78" s="15"/>
      <c r="HQ78" s="15"/>
      <c r="HR78" s="15"/>
      <c r="HS78" s="15"/>
      <c r="HT78" s="15"/>
      <c r="HU78" s="15"/>
      <c r="HV78" s="15"/>
      <c r="HW78" s="15"/>
      <c r="HX78" s="15"/>
      <c r="HY78" s="15"/>
      <c r="HZ78" s="15"/>
      <c r="IA78" s="15"/>
      <c r="IB78" s="15"/>
      <c r="IC78" s="15"/>
      <c r="ID78" s="15"/>
      <c r="IE78" s="15"/>
      <c r="IF78" s="15"/>
      <c r="IG78" s="15"/>
      <c r="IH78" s="15"/>
      <c r="II78" s="15"/>
      <c r="IJ78" s="15"/>
      <c r="IK78" s="15"/>
      <c r="IL78" s="15"/>
      <c r="IM78" s="15"/>
      <c r="IN78" s="15"/>
      <c r="IO78" s="15"/>
      <c r="IP78" s="15"/>
      <c r="IQ78" s="15"/>
      <c r="IR78" s="15"/>
      <c r="IS78" s="15"/>
      <c r="IT78" s="15"/>
      <c r="IU78" s="16"/>
    </row>
    <row r="79" spans="1:255" ht="16" customHeight="1">
      <c r="A79" s="133"/>
      <c r="B79" s="14"/>
      <c r="C79" s="35"/>
      <c r="D79" s="35"/>
      <c r="E79" s="15"/>
      <c r="F79" s="15"/>
      <c r="G79" s="222"/>
      <c r="H79" s="250"/>
      <c r="I79" s="251"/>
      <c r="J79" s="251"/>
      <c r="K79" s="251"/>
      <c r="L79" s="251"/>
      <c r="M79" s="244"/>
      <c r="N79" s="16"/>
      <c r="O79" s="48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  <c r="IT79" s="15"/>
      <c r="IU79" s="16"/>
    </row>
    <row r="80" spans="1:255" ht="16" customHeight="1">
      <c r="A80" s="133"/>
      <c r="B80" s="14"/>
      <c r="C80" s="504" t="s">
        <v>214</v>
      </c>
      <c r="D80" s="252"/>
      <c r="E80" s="15"/>
      <c r="F80" s="15"/>
      <c r="G80" s="222"/>
      <c r="H80" s="229">
        <v>0.15</v>
      </c>
      <c r="I80" s="229">
        <v>0.15</v>
      </c>
      <c r="J80" s="229">
        <v>0.15</v>
      </c>
      <c r="K80" s="229">
        <v>0.15</v>
      </c>
      <c r="L80" s="229">
        <v>0.15</v>
      </c>
      <c r="M80" s="232"/>
      <c r="N80" s="16"/>
      <c r="O80" s="48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  <c r="HB80" s="15"/>
      <c r="HC80" s="15"/>
      <c r="HD80" s="15"/>
      <c r="HE80" s="15"/>
      <c r="HF80" s="15"/>
      <c r="HG80" s="15"/>
      <c r="HH80" s="15"/>
      <c r="HI80" s="15"/>
      <c r="HJ80" s="15"/>
      <c r="HK80" s="15"/>
      <c r="HL80" s="15"/>
      <c r="HM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  <c r="IO80" s="15"/>
      <c r="IP80" s="15"/>
      <c r="IQ80" s="15"/>
      <c r="IR80" s="15"/>
      <c r="IS80" s="15"/>
      <c r="IT80" s="15"/>
      <c r="IU80" s="16"/>
    </row>
    <row r="81" spans="1:255" ht="16" customHeight="1">
      <c r="A81" s="133"/>
      <c r="B81" s="14"/>
      <c r="C81" s="595" t="s">
        <v>239</v>
      </c>
      <c r="D81" s="254">
        <v>35000</v>
      </c>
      <c r="E81" s="230"/>
      <c r="F81" s="15"/>
      <c r="G81" s="233" t="s">
        <v>74</v>
      </c>
      <c r="H81" s="596">
        <f>D81*(1+H80)</f>
        <v>40250</v>
      </c>
      <c r="I81" s="597">
        <f>H81*(1+I80)</f>
        <v>46287.5</v>
      </c>
      <c r="J81" s="597">
        <f>I81*(1+J80)</f>
        <v>53230.624999999993</v>
      </c>
      <c r="K81" s="597">
        <f>J81*(1+K80)</f>
        <v>61215.218749999985</v>
      </c>
      <c r="L81" s="597">
        <f>K81*(1+L80)</f>
        <v>70397.50156249998</v>
      </c>
      <c r="M81" s="244"/>
      <c r="N81" s="16"/>
      <c r="O81" s="48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  <c r="IR81" s="15"/>
      <c r="IS81" s="15"/>
      <c r="IT81" s="15"/>
      <c r="IU81" s="16"/>
    </row>
    <row r="82" spans="1:255" ht="16" customHeight="1">
      <c r="A82" s="133"/>
      <c r="B82" s="162"/>
      <c r="C82" s="255"/>
      <c r="D82" s="255"/>
      <c r="E82" s="163"/>
      <c r="F82" s="240"/>
      <c r="G82" s="241"/>
      <c r="H82" s="242"/>
      <c r="I82" s="243"/>
      <c r="J82" s="243"/>
      <c r="K82" s="243"/>
      <c r="L82" s="243"/>
      <c r="M82" s="14"/>
      <c r="N82" s="16"/>
      <c r="O82" s="48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  <c r="GR82" s="15"/>
      <c r="GS82" s="15"/>
      <c r="GT82" s="15"/>
      <c r="GU82" s="15"/>
      <c r="GV82" s="15"/>
      <c r="GW82" s="15"/>
      <c r="GX82" s="15"/>
      <c r="GY82" s="15"/>
      <c r="GZ82" s="15"/>
      <c r="HA82" s="15"/>
      <c r="HB82" s="15"/>
      <c r="HC82" s="15"/>
      <c r="HD82" s="15"/>
      <c r="HE82" s="15"/>
      <c r="HF82" s="15"/>
      <c r="HG82" s="15"/>
      <c r="HH82" s="15"/>
      <c r="HI82" s="15"/>
      <c r="HJ82" s="15"/>
      <c r="HK82" s="15"/>
      <c r="HL82" s="15"/>
      <c r="HM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  <c r="IB82" s="15"/>
      <c r="IC82" s="15"/>
      <c r="ID82" s="15"/>
      <c r="IE82" s="15"/>
      <c r="IF82" s="15"/>
      <c r="IG82" s="15"/>
      <c r="IH82" s="15"/>
      <c r="II82" s="15"/>
      <c r="IJ82" s="15"/>
      <c r="IK82" s="15"/>
      <c r="IL82" s="15"/>
      <c r="IM82" s="15"/>
      <c r="IN82" s="15"/>
      <c r="IO82" s="15"/>
      <c r="IP82" s="15"/>
      <c r="IQ82" s="15"/>
      <c r="IR82" s="15"/>
      <c r="IS82" s="15"/>
      <c r="IT82" s="15"/>
      <c r="IU82" s="16"/>
    </row>
    <row r="83" spans="1:255" ht="16" customHeight="1">
      <c r="A83" s="133"/>
      <c r="B83" s="256" t="s">
        <v>75</v>
      </c>
      <c r="C83" s="135"/>
      <c r="D83" s="135"/>
      <c r="E83" s="135"/>
      <c r="F83" s="135"/>
      <c r="G83" s="257"/>
      <c r="H83" s="246">
        <f>SUM(H76,H81)</f>
        <v>96250</v>
      </c>
      <c r="I83" s="247">
        <f>SUM(I76,I81)</f>
        <v>124687.5</v>
      </c>
      <c r="J83" s="247">
        <f>SUM(J76,J81)</f>
        <v>162990.625</v>
      </c>
      <c r="K83" s="247">
        <f>SUM(K76,K81)</f>
        <v>214879.21875</v>
      </c>
      <c r="L83" s="247">
        <f>SUM(L76,L81)</f>
        <v>285527.10156249994</v>
      </c>
      <c r="M83" s="14"/>
      <c r="N83" s="16"/>
      <c r="O83" s="48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  <c r="HB83" s="15"/>
      <c r="HC83" s="15"/>
      <c r="HD83" s="15"/>
      <c r="HE83" s="15"/>
      <c r="HF83" s="15"/>
      <c r="HG83" s="15"/>
      <c r="HH83" s="15"/>
      <c r="HI83" s="15"/>
      <c r="HJ83" s="15"/>
      <c r="HK83" s="15"/>
      <c r="HL83" s="15"/>
      <c r="HM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  <c r="IO83" s="15"/>
      <c r="IP83" s="15"/>
      <c r="IQ83" s="15"/>
      <c r="IR83" s="15"/>
      <c r="IS83" s="15"/>
      <c r="IT83" s="15"/>
      <c r="IU83" s="16"/>
    </row>
    <row r="84" spans="1:255" ht="17" customHeight="1">
      <c r="A84" s="133"/>
      <c r="B84" s="14"/>
      <c r="C84" s="35"/>
      <c r="D84" s="35"/>
      <c r="E84" s="15"/>
      <c r="F84" s="221"/>
      <c r="G84" s="222"/>
      <c r="H84" s="248"/>
      <c r="I84" s="249"/>
      <c r="J84" s="249"/>
      <c r="K84" s="249"/>
      <c r="L84" s="249"/>
      <c r="M84" s="14"/>
      <c r="N84" s="16"/>
      <c r="O84" s="48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GR84" s="15"/>
      <c r="GS84" s="15"/>
      <c r="GT84" s="15"/>
      <c r="GU84" s="15"/>
      <c r="GV84" s="15"/>
      <c r="GW84" s="15"/>
      <c r="GX84" s="15"/>
      <c r="GY84" s="15"/>
      <c r="GZ84" s="15"/>
      <c r="HA84" s="15"/>
      <c r="HB84" s="15"/>
      <c r="HC84" s="15"/>
      <c r="HD84" s="15"/>
      <c r="HE84" s="15"/>
      <c r="HF84" s="15"/>
      <c r="HG84" s="15"/>
      <c r="HH84" s="15"/>
      <c r="HI84" s="15"/>
      <c r="HJ84" s="15"/>
      <c r="HK84" s="15"/>
      <c r="HL84" s="15"/>
      <c r="HM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  <c r="II84" s="15"/>
      <c r="IJ84" s="15"/>
      <c r="IK84" s="15"/>
      <c r="IL84" s="15"/>
      <c r="IM84" s="15"/>
      <c r="IN84" s="15"/>
      <c r="IO84" s="15"/>
      <c r="IP84" s="15"/>
      <c r="IQ84" s="15"/>
      <c r="IR84" s="15"/>
      <c r="IS84" s="15"/>
      <c r="IT84" s="15"/>
      <c r="IU84" s="16"/>
    </row>
    <row r="85" spans="1:255" ht="16" customHeight="1">
      <c r="A85" s="133"/>
      <c r="B85" s="219" t="s">
        <v>243</v>
      </c>
      <c r="C85" s="220"/>
      <c r="D85" s="294" t="s">
        <v>248</v>
      </c>
      <c r="F85" s="221"/>
      <c r="G85" s="222"/>
      <c r="H85" s="223"/>
      <c r="I85" s="224"/>
      <c r="J85" s="224"/>
      <c r="K85" s="224"/>
      <c r="L85" s="224"/>
      <c r="M85" s="14"/>
      <c r="N85" s="16"/>
      <c r="O85" s="48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5"/>
      <c r="GA85" s="15"/>
      <c r="GB85" s="15"/>
      <c r="GC85" s="15"/>
      <c r="GD85" s="15"/>
      <c r="GE85" s="15"/>
      <c r="GF85" s="15"/>
      <c r="GG85" s="15"/>
      <c r="GH85" s="15"/>
      <c r="GI85" s="15"/>
      <c r="GJ85" s="15"/>
      <c r="GK85" s="15"/>
      <c r="GL85" s="15"/>
      <c r="GM85" s="15"/>
      <c r="GN85" s="15"/>
      <c r="GO85" s="15"/>
      <c r="GP85" s="15"/>
      <c r="GQ85" s="15"/>
      <c r="GR85" s="15"/>
      <c r="GS85" s="15"/>
      <c r="GT85" s="15"/>
      <c r="GU85" s="15"/>
      <c r="GV85" s="15"/>
      <c r="GW85" s="15"/>
      <c r="GX85" s="15"/>
      <c r="GY85" s="15"/>
      <c r="GZ85" s="15"/>
      <c r="HA85" s="15"/>
      <c r="HB85" s="15"/>
      <c r="HC85" s="15"/>
      <c r="HD85" s="15"/>
      <c r="HE85" s="15"/>
      <c r="HF85" s="15"/>
      <c r="HG85" s="15"/>
      <c r="HH85" s="15"/>
      <c r="HI85" s="15"/>
      <c r="HJ85" s="15"/>
      <c r="HK85" s="15"/>
      <c r="HL85" s="15"/>
      <c r="HM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  <c r="HY85" s="15"/>
      <c r="HZ85" s="15"/>
      <c r="IA85" s="15"/>
      <c r="IB85" s="15"/>
      <c r="IC85" s="15"/>
      <c r="ID85" s="15"/>
      <c r="IE85" s="15"/>
      <c r="IF85" s="15"/>
      <c r="IG85" s="15"/>
      <c r="IH85" s="15"/>
      <c r="II85" s="15"/>
      <c r="IJ85" s="15"/>
      <c r="IK85" s="15"/>
      <c r="IL85" s="15"/>
      <c r="IM85" s="15"/>
      <c r="IN85" s="15"/>
      <c r="IO85" s="15"/>
      <c r="IP85" s="15"/>
      <c r="IQ85" s="15"/>
      <c r="IR85" s="15"/>
      <c r="IS85" s="15"/>
      <c r="IT85" s="15"/>
      <c r="IU85" s="16"/>
    </row>
    <row r="86" spans="1:255" ht="16" customHeight="1">
      <c r="A86" s="133"/>
      <c r="B86" s="14"/>
      <c r="C86" s="258" t="s">
        <v>77</v>
      </c>
      <c r="D86" s="259">
        <v>0</v>
      </c>
      <c r="F86" s="240"/>
      <c r="G86" s="261"/>
      <c r="H86" s="262"/>
      <c r="I86" s="263"/>
      <c r="J86" s="263"/>
      <c r="K86" s="263"/>
      <c r="L86" s="263"/>
      <c r="M86" s="14"/>
      <c r="N86" s="16"/>
      <c r="O86" s="48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  <c r="FY86" s="15"/>
      <c r="FZ86" s="15"/>
      <c r="GA86" s="15"/>
      <c r="GB86" s="15"/>
      <c r="GC86" s="15"/>
      <c r="GD86" s="15"/>
      <c r="GE86" s="15"/>
      <c r="GF86" s="15"/>
      <c r="GG86" s="15"/>
      <c r="GH86" s="15"/>
      <c r="GI86" s="15"/>
      <c r="GJ86" s="15"/>
      <c r="GK86" s="15"/>
      <c r="GL86" s="15"/>
      <c r="GM86" s="15"/>
      <c r="GN86" s="15"/>
      <c r="GO86" s="15"/>
      <c r="GP86" s="15"/>
      <c r="GQ86" s="15"/>
      <c r="GR86" s="15"/>
      <c r="GS86" s="15"/>
      <c r="GT86" s="15"/>
      <c r="GU86" s="15"/>
      <c r="GV86" s="15"/>
      <c r="GW86" s="15"/>
      <c r="GX86" s="15"/>
      <c r="GY86" s="15"/>
      <c r="GZ86" s="15"/>
      <c r="HA86" s="15"/>
      <c r="HB86" s="15"/>
      <c r="HC86" s="15"/>
      <c r="HD86" s="15"/>
      <c r="HE86" s="15"/>
      <c r="HF86" s="15"/>
      <c r="HG86" s="15"/>
      <c r="HH86" s="15"/>
      <c r="HI86" s="15"/>
      <c r="HJ86" s="15"/>
      <c r="HK86" s="15"/>
      <c r="HL86" s="15"/>
      <c r="HM86" s="15"/>
      <c r="HN86" s="15"/>
      <c r="HO86" s="15"/>
      <c r="HP86" s="15"/>
      <c r="HQ86" s="15"/>
      <c r="HR86" s="15"/>
      <c r="HS86" s="15"/>
      <c r="HT86" s="15"/>
      <c r="HU86" s="15"/>
      <c r="HV86" s="15"/>
      <c r="HW86" s="15"/>
      <c r="HX86" s="15"/>
      <c r="HY86" s="15"/>
      <c r="HZ86" s="15"/>
      <c r="IA86" s="15"/>
      <c r="IB86" s="15"/>
      <c r="IC86" s="15"/>
      <c r="ID86" s="15"/>
      <c r="IE86" s="15"/>
      <c r="IF86" s="15"/>
      <c r="IG86" s="15"/>
      <c r="IH86" s="15"/>
      <c r="II86" s="15"/>
      <c r="IJ86" s="15"/>
      <c r="IK86" s="15"/>
      <c r="IL86" s="15"/>
      <c r="IM86" s="15"/>
      <c r="IN86" s="15"/>
      <c r="IO86" s="15"/>
      <c r="IP86" s="15"/>
      <c r="IQ86" s="15"/>
      <c r="IR86" s="15"/>
      <c r="IS86" s="15"/>
      <c r="IT86" s="15"/>
      <c r="IU86" s="16"/>
    </row>
    <row r="87" spans="1:255" ht="16" customHeight="1">
      <c r="A87" s="133"/>
      <c r="B87" s="14"/>
      <c r="C87" s="189" t="s">
        <v>246</v>
      </c>
      <c r="D87" s="135"/>
      <c r="E87" s="135"/>
      <c r="F87" s="135"/>
      <c r="G87" s="245"/>
      <c r="H87" s="246">
        <f>$D86*H83</f>
        <v>0</v>
      </c>
      <c r="I87" s="247">
        <f>$D86*I83</f>
        <v>0</v>
      </c>
      <c r="J87" s="247">
        <f>$D86*J83</f>
        <v>0</v>
      </c>
      <c r="K87" s="247">
        <f>$D86*K83</f>
        <v>0</v>
      </c>
      <c r="L87" s="247">
        <f>$D86*L83</f>
        <v>0</v>
      </c>
      <c r="M87" s="14"/>
      <c r="N87" s="16"/>
      <c r="O87" s="48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  <c r="FZ87" s="15"/>
      <c r="GA87" s="15"/>
      <c r="GB87" s="15"/>
      <c r="GC87" s="15"/>
      <c r="GD87" s="15"/>
      <c r="GE87" s="15"/>
      <c r="GF87" s="15"/>
      <c r="GG87" s="15"/>
      <c r="GH87" s="15"/>
      <c r="GI87" s="15"/>
      <c r="GJ87" s="15"/>
      <c r="GK87" s="15"/>
      <c r="GL87" s="15"/>
      <c r="GM87" s="15"/>
      <c r="GN87" s="15"/>
      <c r="GO87" s="15"/>
      <c r="GP87" s="15"/>
      <c r="GQ87" s="15"/>
      <c r="GR87" s="15"/>
      <c r="GS87" s="15"/>
      <c r="GT87" s="15"/>
      <c r="GU87" s="15"/>
      <c r="GV87" s="15"/>
      <c r="GW87" s="15"/>
      <c r="GX87" s="15"/>
      <c r="GY87" s="15"/>
      <c r="GZ87" s="15"/>
      <c r="HA87" s="15"/>
      <c r="HB87" s="15"/>
      <c r="HC87" s="15"/>
      <c r="HD87" s="15"/>
      <c r="HE87" s="15"/>
      <c r="HF87" s="15"/>
      <c r="HG87" s="15"/>
      <c r="HH87" s="15"/>
      <c r="HI87" s="15"/>
      <c r="HJ87" s="15"/>
      <c r="HK87" s="15"/>
      <c r="HL87" s="15"/>
      <c r="HM87" s="15"/>
      <c r="HN87" s="15"/>
      <c r="HO87" s="15"/>
      <c r="HP87" s="15"/>
      <c r="HQ87" s="15"/>
      <c r="HR87" s="15"/>
      <c r="HS87" s="15"/>
      <c r="HT87" s="15"/>
      <c r="HU87" s="15"/>
      <c r="HV87" s="15"/>
      <c r="HW87" s="15"/>
      <c r="HX87" s="15"/>
      <c r="HY87" s="15"/>
      <c r="HZ87" s="15"/>
      <c r="IA87" s="15"/>
      <c r="IB87" s="15"/>
      <c r="IC87" s="15"/>
      <c r="ID87" s="15"/>
      <c r="IE87" s="15"/>
      <c r="IF87" s="15"/>
      <c r="IG87" s="15"/>
      <c r="IH87" s="15"/>
      <c r="II87" s="15"/>
      <c r="IJ87" s="15"/>
      <c r="IK87" s="15"/>
      <c r="IL87" s="15"/>
      <c r="IM87" s="15"/>
      <c r="IN87" s="15"/>
      <c r="IO87" s="15"/>
      <c r="IP87" s="15"/>
      <c r="IQ87" s="15"/>
      <c r="IR87" s="15"/>
      <c r="IS87" s="15"/>
      <c r="IT87" s="15"/>
      <c r="IU87" s="16"/>
    </row>
    <row r="88" spans="1:255" ht="16" customHeight="1">
      <c r="A88" s="133"/>
      <c r="B88" s="14"/>
      <c r="C88" s="188"/>
      <c r="D88" s="221"/>
      <c r="E88" s="221"/>
      <c r="F88" s="221"/>
      <c r="G88" s="222"/>
      <c r="H88" s="248"/>
      <c r="I88" s="249"/>
      <c r="J88" s="249"/>
      <c r="K88" s="249"/>
      <c r="L88" s="249"/>
      <c r="M88" s="14"/>
      <c r="N88" s="16"/>
      <c r="O88" s="48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5"/>
      <c r="FK88" s="15"/>
      <c r="FL88" s="15"/>
      <c r="FM88" s="15"/>
      <c r="FN88" s="15"/>
      <c r="FO88" s="15"/>
      <c r="FP88" s="15"/>
      <c r="FQ88" s="15"/>
      <c r="FR88" s="15"/>
      <c r="FS88" s="15"/>
      <c r="FT88" s="15"/>
      <c r="FU88" s="15"/>
      <c r="FV88" s="15"/>
      <c r="FW88" s="15"/>
      <c r="FX88" s="15"/>
      <c r="FY88" s="15"/>
      <c r="FZ88" s="15"/>
      <c r="GA88" s="15"/>
      <c r="GB88" s="15"/>
      <c r="GC88" s="15"/>
      <c r="GD88" s="15"/>
      <c r="GE88" s="15"/>
      <c r="GF88" s="15"/>
      <c r="GG88" s="15"/>
      <c r="GH88" s="15"/>
      <c r="GI88" s="15"/>
      <c r="GJ88" s="15"/>
      <c r="GK88" s="15"/>
      <c r="GL88" s="15"/>
      <c r="GM88" s="15"/>
      <c r="GN88" s="15"/>
      <c r="GO88" s="15"/>
      <c r="GP88" s="15"/>
      <c r="GQ88" s="15"/>
      <c r="GR88" s="15"/>
      <c r="GS88" s="15"/>
      <c r="GT88" s="15"/>
      <c r="GU88" s="15"/>
      <c r="GV88" s="15"/>
      <c r="GW88" s="15"/>
      <c r="GX88" s="15"/>
      <c r="GY88" s="15"/>
      <c r="GZ88" s="15"/>
      <c r="HA88" s="15"/>
      <c r="HB88" s="15"/>
      <c r="HC88" s="15"/>
      <c r="HD88" s="15"/>
      <c r="HE88" s="15"/>
      <c r="HF88" s="15"/>
      <c r="HG88" s="15"/>
      <c r="HH88" s="15"/>
      <c r="HI88" s="15"/>
      <c r="HJ88" s="15"/>
      <c r="HK88" s="15"/>
      <c r="HL88" s="15"/>
      <c r="HM88" s="15"/>
      <c r="HN88" s="15"/>
      <c r="HO88" s="15"/>
      <c r="HP88" s="15"/>
      <c r="HQ88" s="15"/>
      <c r="HR88" s="15"/>
      <c r="HS88" s="15"/>
      <c r="HT88" s="15"/>
      <c r="HU88" s="15"/>
      <c r="HV88" s="15"/>
      <c r="HW88" s="15"/>
      <c r="HX88" s="15"/>
      <c r="HY88" s="15"/>
      <c r="HZ88" s="15"/>
      <c r="IA88" s="15"/>
      <c r="IB88" s="15"/>
      <c r="IC88" s="15"/>
      <c r="ID88" s="15"/>
      <c r="IE88" s="15"/>
      <c r="IF88" s="15"/>
      <c r="IG88" s="15"/>
      <c r="IH88" s="15"/>
      <c r="II88" s="15"/>
      <c r="IJ88" s="15"/>
      <c r="IK88" s="15"/>
      <c r="IL88" s="15"/>
      <c r="IM88" s="15"/>
      <c r="IN88" s="15"/>
      <c r="IO88" s="15"/>
      <c r="IP88" s="15"/>
      <c r="IQ88" s="15"/>
      <c r="IR88" s="15"/>
      <c r="IS88" s="15"/>
      <c r="IT88" s="15"/>
      <c r="IU88" s="16"/>
    </row>
    <row r="89" spans="1:255" ht="16" customHeight="1">
      <c r="A89" s="133"/>
      <c r="B89" s="219" t="s">
        <v>244</v>
      </c>
      <c r="C89" s="35"/>
      <c r="D89" s="294" t="s">
        <v>87</v>
      </c>
      <c r="E89" s="294" t="s">
        <v>247</v>
      </c>
      <c r="F89" s="15"/>
      <c r="G89" s="295"/>
      <c r="H89" s="296"/>
      <c r="I89" s="297"/>
      <c r="J89" s="297"/>
      <c r="K89" s="297"/>
      <c r="L89" s="297"/>
      <c r="M89" s="14"/>
      <c r="N89" s="16"/>
      <c r="O89" s="48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5"/>
      <c r="FK89" s="15"/>
      <c r="FL89" s="15"/>
      <c r="FM89" s="15"/>
      <c r="FN89" s="15"/>
      <c r="FO89" s="15"/>
      <c r="FP89" s="15"/>
      <c r="FQ89" s="15"/>
      <c r="FR89" s="15"/>
      <c r="FS89" s="15"/>
      <c r="FT89" s="15"/>
      <c r="FU89" s="15"/>
      <c r="FV89" s="15"/>
      <c r="FW89" s="15"/>
      <c r="FX89" s="15"/>
      <c r="FY89" s="15"/>
      <c r="FZ89" s="15"/>
      <c r="GA89" s="15"/>
      <c r="GB89" s="15"/>
      <c r="GC89" s="15"/>
      <c r="GD89" s="15"/>
      <c r="GE89" s="15"/>
      <c r="GF89" s="15"/>
      <c r="GG89" s="15"/>
      <c r="GH89" s="15"/>
      <c r="GI89" s="15"/>
      <c r="GJ89" s="15"/>
      <c r="GK89" s="15"/>
      <c r="GL89" s="15"/>
      <c r="GM89" s="15"/>
      <c r="GN89" s="15"/>
      <c r="GO89" s="15"/>
      <c r="GP89" s="15"/>
      <c r="GQ89" s="15"/>
      <c r="GR89" s="15"/>
      <c r="GS89" s="15"/>
      <c r="GT89" s="15"/>
      <c r="GU89" s="15"/>
      <c r="GV89" s="15"/>
      <c r="GW89" s="15"/>
      <c r="GX89" s="15"/>
      <c r="GY89" s="15"/>
      <c r="GZ89" s="15"/>
      <c r="HA89" s="15"/>
      <c r="HB89" s="15"/>
      <c r="HC89" s="15"/>
      <c r="HD89" s="15"/>
      <c r="HE89" s="15"/>
      <c r="HF89" s="15"/>
      <c r="HG89" s="15"/>
      <c r="HH89" s="15"/>
      <c r="HI89" s="15"/>
      <c r="HJ89" s="15"/>
      <c r="HK89" s="15"/>
      <c r="HL89" s="15"/>
      <c r="HM89" s="15"/>
      <c r="HN89" s="15"/>
      <c r="HO89" s="15"/>
      <c r="HP89" s="15"/>
      <c r="HQ89" s="15"/>
      <c r="HR89" s="15"/>
      <c r="HS89" s="15"/>
      <c r="HT89" s="15"/>
      <c r="HU89" s="15"/>
      <c r="HV89" s="15"/>
      <c r="HW89" s="15"/>
      <c r="HX89" s="15"/>
      <c r="HY89" s="15"/>
      <c r="HZ89" s="15"/>
      <c r="IA89" s="15"/>
      <c r="IB89" s="15"/>
      <c r="IC89" s="15"/>
      <c r="ID89" s="15"/>
      <c r="IE89" s="15"/>
      <c r="IF89" s="15"/>
      <c r="IG89" s="15"/>
      <c r="IH89" s="15"/>
      <c r="II89" s="15"/>
      <c r="IJ89" s="15"/>
      <c r="IK89" s="15"/>
      <c r="IL89" s="15"/>
      <c r="IM89" s="15"/>
      <c r="IN89" s="15"/>
      <c r="IO89" s="15"/>
      <c r="IP89" s="15"/>
      <c r="IQ89" s="15"/>
      <c r="IR89" s="15"/>
      <c r="IS89" s="15"/>
      <c r="IT89" s="15"/>
      <c r="IU89" s="16"/>
    </row>
    <row r="90" spans="1:255" ht="16" customHeight="1">
      <c r="A90" s="133"/>
      <c r="B90" s="298"/>
      <c r="C90" s="595" t="s">
        <v>245</v>
      </c>
      <c r="D90" s="598">
        <v>0.15</v>
      </c>
      <c r="E90" s="254">
        <v>300</v>
      </c>
      <c r="F90" s="15"/>
      <c r="G90" s="295"/>
      <c r="H90" s="225"/>
      <c r="I90" s="226"/>
      <c r="J90" s="226"/>
      <c r="K90" s="226"/>
      <c r="L90" s="226"/>
      <c r="M90" s="14"/>
      <c r="N90" s="16"/>
      <c r="O90" s="48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5"/>
      <c r="FK90" s="15"/>
      <c r="FL90" s="15"/>
      <c r="FM90" s="15"/>
      <c r="FN90" s="15"/>
      <c r="FO90" s="15"/>
      <c r="FP90" s="15"/>
      <c r="FQ90" s="15"/>
      <c r="FR90" s="15"/>
      <c r="FS90" s="15"/>
      <c r="FT90" s="15"/>
      <c r="FU90" s="15"/>
      <c r="FV90" s="15"/>
      <c r="FW90" s="15"/>
      <c r="FX90" s="15"/>
      <c r="FY90" s="15"/>
      <c r="FZ90" s="15"/>
      <c r="GA90" s="15"/>
      <c r="GB90" s="15"/>
      <c r="GC90" s="15"/>
      <c r="GD90" s="15"/>
      <c r="GE90" s="15"/>
      <c r="GF90" s="15"/>
      <c r="GG90" s="15"/>
      <c r="GH90" s="15"/>
      <c r="GI90" s="15"/>
      <c r="GJ90" s="15"/>
      <c r="GK90" s="15"/>
      <c r="GL90" s="15"/>
      <c r="GM90" s="15"/>
      <c r="GN90" s="15"/>
      <c r="GO90" s="15"/>
      <c r="GP90" s="15"/>
      <c r="GQ90" s="15"/>
      <c r="GR90" s="15"/>
      <c r="GS90" s="15"/>
      <c r="GT90" s="15"/>
      <c r="GU90" s="15"/>
      <c r="GV90" s="15"/>
      <c r="GW90" s="15"/>
      <c r="GX90" s="15"/>
      <c r="GY90" s="15"/>
      <c r="GZ90" s="15"/>
      <c r="HA90" s="15"/>
      <c r="HB90" s="15"/>
      <c r="HC90" s="15"/>
      <c r="HD90" s="15"/>
      <c r="HE90" s="15"/>
      <c r="HF90" s="15"/>
      <c r="HG90" s="15"/>
      <c r="HH90" s="15"/>
      <c r="HI90" s="15"/>
      <c r="HJ90" s="15"/>
      <c r="HK90" s="15"/>
      <c r="HL90" s="15"/>
      <c r="HM90" s="15"/>
      <c r="HN90" s="15"/>
      <c r="HO90" s="15"/>
      <c r="HP90" s="15"/>
      <c r="HQ90" s="15"/>
      <c r="HR90" s="15"/>
      <c r="HS90" s="15"/>
      <c r="HT90" s="15"/>
      <c r="HU90" s="15"/>
      <c r="HV90" s="15"/>
      <c r="HW90" s="15"/>
      <c r="HX90" s="15"/>
      <c r="HY90" s="15"/>
      <c r="HZ90" s="15"/>
      <c r="IA90" s="15"/>
      <c r="IB90" s="15"/>
      <c r="IC90" s="15"/>
      <c r="ID90" s="15"/>
      <c r="IE90" s="15"/>
      <c r="IF90" s="15"/>
      <c r="IG90" s="15"/>
      <c r="IH90" s="15"/>
      <c r="II90" s="15"/>
      <c r="IJ90" s="15"/>
      <c r="IK90" s="15"/>
      <c r="IL90" s="15"/>
      <c r="IM90" s="15"/>
      <c r="IN90" s="15"/>
      <c r="IO90" s="15"/>
      <c r="IP90" s="15"/>
      <c r="IQ90" s="15"/>
      <c r="IR90" s="15"/>
      <c r="IS90" s="15"/>
      <c r="IT90" s="15"/>
      <c r="IU90" s="16"/>
    </row>
    <row r="91" spans="1:255" ht="16" customHeight="1">
      <c r="A91" s="133"/>
      <c r="B91" s="14"/>
      <c r="C91" s="189" t="s">
        <v>249</v>
      </c>
      <c r="D91" s="135"/>
      <c r="E91" s="135"/>
      <c r="F91" s="135"/>
      <c r="G91" s="245"/>
      <c r="H91" s="246">
        <f>D90*E90</f>
        <v>45</v>
      </c>
      <c r="I91" s="247">
        <f>H87*$D90</f>
        <v>0</v>
      </c>
      <c r="J91" s="247">
        <f t="shared" ref="J91:L91" si="7">I87*$D90</f>
        <v>0</v>
      </c>
      <c r="K91" s="247">
        <f t="shared" si="7"/>
        <v>0</v>
      </c>
      <c r="L91" s="247">
        <f t="shared" si="7"/>
        <v>0</v>
      </c>
      <c r="M91" s="230"/>
      <c r="N91" s="16"/>
      <c r="O91" s="48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  <c r="FY91" s="15"/>
      <c r="FZ91" s="15"/>
      <c r="GA91" s="15"/>
      <c r="GB91" s="15"/>
      <c r="GC91" s="15"/>
      <c r="GD91" s="15"/>
      <c r="GE91" s="15"/>
      <c r="GF91" s="15"/>
      <c r="GG91" s="15"/>
      <c r="GH91" s="15"/>
      <c r="GI91" s="15"/>
      <c r="GJ91" s="15"/>
      <c r="GK91" s="15"/>
      <c r="GL91" s="15"/>
      <c r="GM91" s="15"/>
      <c r="GN91" s="15"/>
      <c r="GO91" s="15"/>
      <c r="GP91" s="15"/>
      <c r="GQ91" s="15"/>
      <c r="GR91" s="15"/>
      <c r="GS91" s="15"/>
      <c r="GT91" s="15"/>
      <c r="GU91" s="15"/>
      <c r="GV91" s="15"/>
      <c r="GW91" s="15"/>
      <c r="GX91" s="15"/>
      <c r="GY91" s="15"/>
      <c r="GZ91" s="15"/>
      <c r="HA91" s="15"/>
      <c r="HB91" s="15"/>
      <c r="HC91" s="15"/>
      <c r="HD91" s="15"/>
      <c r="HE91" s="15"/>
      <c r="HF91" s="15"/>
      <c r="HG91" s="15"/>
      <c r="HH91" s="15"/>
      <c r="HI91" s="15"/>
      <c r="HJ91" s="15"/>
      <c r="HK91" s="15"/>
      <c r="HL91" s="15"/>
      <c r="HM91" s="15"/>
      <c r="HN91" s="15"/>
      <c r="HO91" s="15"/>
      <c r="HP91" s="15"/>
      <c r="HQ91" s="15"/>
      <c r="HR91" s="15"/>
      <c r="HS91" s="15"/>
      <c r="HT91" s="15"/>
      <c r="HU91" s="15"/>
      <c r="HV91" s="15"/>
      <c r="HW91" s="15"/>
      <c r="HX91" s="15"/>
      <c r="HY91" s="15"/>
      <c r="HZ91" s="15"/>
      <c r="IA91" s="15"/>
      <c r="IB91" s="15"/>
      <c r="IC91" s="15"/>
      <c r="ID91" s="15"/>
      <c r="IE91" s="15"/>
      <c r="IF91" s="15"/>
      <c r="IG91" s="15"/>
      <c r="IH91" s="15"/>
      <c r="II91" s="15"/>
      <c r="IJ91" s="15"/>
      <c r="IK91" s="15"/>
      <c r="IL91" s="15"/>
      <c r="IM91" s="15"/>
      <c r="IN91" s="15"/>
      <c r="IO91" s="15"/>
      <c r="IP91" s="15"/>
      <c r="IQ91" s="15"/>
      <c r="IR91" s="15"/>
      <c r="IS91" s="15"/>
      <c r="IT91" s="15"/>
      <c r="IU91" s="16"/>
    </row>
    <row r="92" spans="1:255" ht="16" customHeight="1">
      <c r="A92" s="133"/>
      <c r="B92" s="14"/>
      <c r="C92" s="15"/>
      <c r="D92" s="15"/>
      <c r="E92" s="15"/>
      <c r="F92" s="221"/>
      <c r="G92" s="222"/>
      <c r="H92" s="223"/>
      <c r="I92" s="224"/>
      <c r="J92" s="224"/>
      <c r="K92" s="224"/>
      <c r="L92" s="224"/>
      <c r="M92" s="14"/>
      <c r="N92" s="16"/>
      <c r="O92" s="48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  <c r="FY92" s="15"/>
      <c r="FZ92" s="15"/>
      <c r="GA92" s="15"/>
      <c r="GB92" s="15"/>
      <c r="GC92" s="15"/>
      <c r="GD92" s="15"/>
      <c r="GE92" s="15"/>
      <c r="GF92" s="15"/>
      <c r="GG92" s="15"/>
      <c r="GH92" s="15"/>
      <c r="GI92" s="15"/>
      <c r="GJ92" s="15"/>
      <c r="GK92" s="15"/>
      <c r="GL92" s="15"/>
      <c r="GM92" s="15"/>
      <c r="GN92" s="15"/>
      <c r="GO92" s="15"/>
      <c r="GP92" s="15"/>
      <c r="GQ92" s="15"/>
      <c r="GR92" s="15"/>
      <c r="GS92" s="15"/>
      <c r="GT92" s="15"/>
      <c r="GU92" s="15"/>
      <c r="GV92" s="15"/>
      <c r="GW92" s="15"/>
      <c r="GX92" s="15"/>
      <c r="GY92" s="15"/>
      <c r="GZ92" s="15"/>
      <c r="HA92" s="15"/>
      <c r="HB92" s="15"/>
      <c r="HC92" s="15"/>
      <c r="HD92" s="15"/>
      <c r="HE92" s="15"/>
      <c r="HF92" s="15"/>
      <c r="HG92" s="15"/>
      <c r="HH92" s="15"/>
      <c r="HI92" s="15"/>
      <c r="HJ92" s="15"/>
      <c r="HK92" s="15"/>
      <c r="HL92" s="15"/>
      <c r="HM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  <c r="HY92" s="15"/>
      <c r="HZ92" s="15"/>
      <c r="IA92" s="15"/>
      <c r="IB92" s="15"/>
      <c r="IC92" s="15"/>
      <c r="ID92" s="15"/>
      <c r="IE92" s="15"/>
      <c r="IF92" s="15"/>
      <c r="IG92" s="15"/>
      <c r="IH92" s="15"/>
      <c r="II92" s="15"/>
      <c r="IJ92" s="15"/>
      <c r="IK92" s="15"/>
      <c r="IL92" s="15"/>
      <c r="IM92" s="15"/>
      <c r="IN92" s="15"/>
      <c r="IO92" s="15"/>
      <c r="IP92" s="15"/>
      <c r="IQ92" s="15"/>
      <c r="IR92" s="15"/>
      <c r="IS92" s="15"/>
      <c r="IT92" s="15"/>
      <c r="IU92" s="16"/>
    </row>
    <row r="93" spans="1:255" ht="16" customHeight="1">
      <c r="A93" s="133"/>
      <c r="B93" s="14"/>
      <c r="C93" s="189" t="s">
        <v>250</v>
      </c>
      <c r="D93" s="135"/>
      <c r="E93" s="135"/>
      <c r="F93" s="135"/>
      <c r="G93" s="245"/>
      <c r="H93" s="246">
        <f>H91+H87</f>
        <v>45</v>
      </c>
      <c r="I93" s="246">
        <f t="shared" ref="I93:L93" si="8">I91+I87</f>
        <v>0</v>
      </c>
      <c r="J93" s="246">
        <f t="shared" si="8"/>
        <v>0</v>
      </c>
      <c r="K93" s="246">
        <f t="shared" si="8"/>
        <v>0</v>
      </c>
      <c r="L93" s="246">
        <f t="shared" si="8"/>
        <v>0</v>
      </c>
      <c r="M93" s="300"/>
      <c r="N93" s="301"/>
      <c r="O93" s="48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  <c r="FY93" s="15"/>
      <c r="FZ93" s="15"/>
      <c r="GA93" s="15"/>
      <c r="GB93" s="15"/>
      <c r="GC93" s="15"/>
      <c r="GD93" s="15"/>
      <c r="GE93" s="15"/>
      <c r="GF93" s="15"/>
      <c r="GG93" s="15"/>
      <c r="GH93" s="15"/>
      <c r="GI93" s="15"/>
      <c r="GJ93" s="15"/>
      <c r="GK93" s="15"/>
      <c r="GL93" s="15"/>
      <c r="GM93" s="15"/>
      <c r="GN93" s="15"/>
      <c r="GO93" s="15"/>
      <c r="GP93" s="15"/>
      <c r="GQ93" s="15"/>
      <c r="GR93" s="15"/>
      <c r="GS93" s="15"/>
      <c r="GT93" s="15"/>
      <c r="GU93" s="15"/>
      <c r="GV93" s="15"/>
      <c r="GW93" s="15"/>
      <c r="GX93" s="15"/>
      <c r="GY93" s="15"/>
      <c r="GZ93" s="15"/>
      <c r="HA93" s="15"/>
      <c r="HB93" s="15"/>
      <c r="HC93" s="15"/>
      <c r="HD93" s="15"/>
      <c r="HE93" s="15"/>
      <c r="HF93" s="15"/>
      <c r="HG93" s="15"/>
      <c r="HH93" s="15"/>
      <c r="HI93" s="15"/>
      <c r="HJ93" s="15"/>
      <c r="HK93" s="15"/>
      <c r="HL93" s="15"/>
      <c r="HM93" s="15"/>
      <c r="HN93" s="15"/>
      <c r="HO93" s="15"/>
      <c r="HP93" s="15"/>
      <c r="HQ93" s="15"/>
      <c r="HR93" s="15"/>
      <c r="HS93" s="15"/>
      <c r="HT93" s="15"/>
      <c r="HU93" s="15"/>
      <c r="HV93" s="15"/>
      <c r="HW93" s="15"/>
      <c r="HX93" s="15"/>
      <c r="HY93" s="15"/>
      <c r="HZ93" s="15"/>
      <c r="IA93" s="15"/>
      <c r="IB93" s="15"/>
      <c r="IC93" s="15"/>
      <c r="ID93" s="15"/>
      <c r="IE93" s="15"/>
      <c r="IF93" s="15"/>
      <c r="IG93" s="15"/>
      <c r="IH93" s="15"/>
      <c r="II93" s="15"/>
      <c r="IJ93" s="15"/>
      <c r="IK93" s="15"/>
      <c r="IL93" s="15"/>
      <c r="IM93" s="15"/>
      <c r="IN93" s="15"/>
      <c r="IO93" s="15"/>
      <c r="IP93" s="15"/>
      <c r="IQ93" s="15"/>
      <c r="IR93" s="15"/>
      <c r="IS93" s="15"/>
      <c r="IT93" s="15"/>
      <c r="IU93" s="16"/>
    </row>
    <row r="94" spans="1:255" ht="16" customHeight="1">
      <c r="A94" s="133"/>
      <c r="B94" s="14"/>
      <c r="C94" s="220"/>
      <c r="D94" s="221"/>
      <c r="E94" s="221"/>
      <c r="F94" s="221"/>
      <c r="G94" s="222"/>
      <c r="H94" s="248"/>
      <c r="I94" s="249"/>
      <c r="J94" s="249"/>
      <c r="K94" s="249"/>
      <c r="L94" s="249"/>
      <c r="M94" s="14"/>
      <c r="N94" s="16"/>
      <c r="O94" s="48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  <c r="FY94" s="15"/>
      <c r="FZ94" s="15"/>
      <c r="GA94" s="15"/>
      <c r="GB94" s="15"/>
      <c r="GC94" s="15"/>
      <c r="GD94" s="15"/>
      <c r="GE94" s="15"/>
      <c r="GF94" s="15"/>
      <c r="GG94" s="15"/>
      <c r="GH94" s="15"/>
      <c r="GI94" s="15"/>
      <c r="GJ94" s="15"/>
      <c r="GK94" s="15"/>
      <c r="GL94" s="15"/>
      <c r="GM94" s="15"/>
      <c r="GN94" s="15"/>
      <c r="GO94" s="15"/>
      <c r="GP94" s="15"/>
      <c r="GQ94" s="15"/>
      <c r="GR94" s="15"/>
      <c r="GS94" s="15"/>
      <c r="GT94" s="15"/>
      <c r="GU94" s="15"/>
      <c r="GV94" s="15"/>
      <c r="GW94" s="15"/>
      <c r="GX94" s="15"/>
      <c r="GY94" s="15"/>
      <c r="GZ94" s="15"/>
      <c r="HA94" s="15"/>
      <c r="HB94" s="15"/>
      <c r="HC94" s="15"/>
      <c r="HD94" s="15"/>
      <c r="HE94" s="15"/>
      <c r="HF94" s="15"/>
      <c r="HG94" s="15"/>
      <c r="HH94" s="15"/>
      <c r="HI94" s="15"/>
      <c r="HJ94" s="15"/>
      <c r="HK94" s="15"/>
      <c r="HL94" s="15"/>
      <c r="HM94" s="15"/>
      <c r="HN94" s="15"/>
      <c r="HO94" s="15"/>
      <c r="HP94" s="15"/>
      <c r="HQ94" s="15"/>
      <c r="HR94" s="15"/>
      <c r="HS94" s="15"/>
      <c r="HT94" s="15"/>
      <c r="HU94" s="15"/>
      <c r="HV94" s="15"/>
      <c r="HW94" s="15"/>
      <c r="HX94" s="15"/>
      <c r="HY94" s="15"/>
      <c r="HZ94" s="15"/>
      <c r="IA94" s="15"/>
      <c r="IB94" s="15"/>
      <c r="IC94" s="15"/>
      <c r="ID94" s="15"/>
      <c r="IE94" s="15"/>
      <c r="IF94" s="15"/>
      <c r="IG94" s="15"/>
      <c r="IH94" s="15"/>
      <c r="II94" s="15"/>
      <c r="IJ94" s="15"/>
      <c r="IK94" s="15"/>
      <c r="IL94" s="15"/>
      <c r="IM94" s="15"/>
      <c r="IN94" s="15"/>
      <c r="IO94" s="15"/>
      <c r="IP94" s="15"/>
      <c r="IQ94" s="15"/>
      <c r="IR94" s="15"/>
      <c r="IS94" s="15"/>
      <c r="IT94" s="15"/>
      <c r="IU94" s="16"/>
    </row>
    <row r="95" spans="1:255" ht="16" customHeight="1">
      <c r="A95" s="133"/>
      <c r="B95" s="219" t="s">
        <v>28</v>
      </c>
      <c r="C95" s="220"/>
      <c r="D95" s="228"/>
      <c r="E95" s="221"/>
      <c r="F95" s="221"/>
      <c r="G95" s="222"/>
      <c r="H95" s="248"/>
      <c r="I95" s="249"/>
      <c r="J95" s="249"/>
      <c r="K95" s="249"/>
      <c r="L95" s="249"/>
      <c r="M95" s="14"/>
      <c r="N95" s="16"/>
      <c r="O95" s="48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/>
      <c r="EY95" s="15"/>
      <c r="EZ95" s="15"/>
      <c r="FA95" s="15"/>
      <c r="FB95" s="15"/>
      <c r="FC95" s="15"/>
      <c r="FD95" s="15"/>
      <c r="FE95" s="15"/>
      <c r="FF95" s="15"/>
      <c r="FG95" s="15"/>
      <c r="FH95" s="15"/>
      <c r="FI95" s="15"/>
      <c r="FJ95" s="15"/>
      <c r="FK95" s="15"/>
      <c r="FL95" s="15"/>
      <c r="FM95" s="15"/>
      <c r="FN95" s="15"/>
      <c r="FO95" s="15"/>
      <c r="FP95" s="15"/>
      <c r="FQ95" s="15"/>
      <c r="FR95" s="15"/>
      <c r="FS95" s="15"/>
      <c r="FT95" s="15"/>
      <c r="FU95" s="15"/>
      <c r="FV95" s="15"/>
      <c r="FW95" s="15"/>
      <c r="FX95" s="15"/>
      <c r="FY95" s="15"/>
      <c r="FZ95" s="15"/>
      <c r="GA95" s="15"/>
      <c r="GB95" s="15"/>
      <c r="GC95" s="15"/>
      <c r="GD95" s="15"/>
      <c r="GE95" s="15"/>
      <c r="GF95" s="15"/>
      <c r="GG95" s="15"/>
      <c r="GH95" s="15"/>
      <c r="GI95" s="15"/>
      <c r="GJ95" s="15"/>
      <c r="GK95" s="15"/>
      <c r="GL95" s="15"/>
      <c r="GM95" s="15"/>
      <c r="GN95" s="15"/>
      <c r="GO95" s="15"/>
      <c r="GP95" s="15"/>
      <c r="GQ95" s="15"/>
      <c r="GR95" s="15"/>
      <c r="GS95" s="15"/>
      <c r="GT95" s="15"/>
      <c r="GU95" s="15"/>
      <c r="GV95" s="15"/>
      <c r="GW95" s="15"/>
      <c r="GX95" s="15"/>
      <c r="GY95" s="15"/>
      <c r="GZ95" s="15"/>
      <c r="HA95" s="15"/>
      <c r="HB95" s="15"/>
      <c r="HC95" s="15"/>
      <c r="HD95" s="15"/>
      <c r="HE95" s="15"/>
      <c r="HF95" s="15"/>
      <c r="HG95" s="15"/>
      <c r="HH95" s="15"/>
      <c r="HI95" s="15"/>
      <c r="HJ95" s="15"/>
      <c r="HK95" s="15"/>
      <c r="HL95" s="15"/>
      <c r="HM95" s="15"/>
      <c r="HN95" s="15"/>
      <c r="HO95" s="15"/>
      <c r="HP95" s="15"/>
      <c r="HQ95" s="15"/>
      <c r="HR95" s="15"/>
      <c r="HS95" s="15"/>
      <c r="HT95" s="15"/>
      <c r="HU95" s="15"/>
      <c r="HV95" s="15"/>
      <c r="HW95" s="15"/>
      <c r="HX95" s="15"/>
      <c r="HY95" s="15"/>
      <c r="HZ95" s="15"/>
      <c r="IA95" s="15"/>
      <c r="IB95" s="15"/>
      <c r="IC95" s="15"/>
      <c r="ID95" s="15"/>
      <c r="IE95" s="15"/>
      <c r="IF95" s="15"/>
      <c r="IG95" s="15"/>
      <c r="IH95" s="15"/>
      <c r="II95" s="15"/>
      <c r="IJ95" s="15"/>
      <c r="IK95" s="15"/>
      <c r="IL95" s="15"/>
      <c r="IM95" s="15"/>
      <c r="IN95" s="15"/>
      <c r="IO95" s="15"/>
      <c r="IP95" s="15"/>
      <c r="IQ95" s="15"/>
      <c r="IR95" s="15"/>
      <c r="IS95" s="15"/>
      <c r="IT95" s="15"/>
      <c r="IU95" s="16"/>
    </row>
    <row r="96" spans="1:255" ht="16" customHeight="1">
      <c r="A96" s="133"/>
      <c r="B96" s="14"/>
      <c r="C96" s="270" t="s">
        <v>251</v>
      </c>
      <c r="D96" s="283">
        <v>0</v>
      </c>
      <c r="E96" s="232"/>
      <c r="F96" s="221"/>
      <c r="G96" s="222"/>
      <c r="H96" s="234">
        <f>H93*$D96</f>
        <v>0</v>
      </c>
      <c r="I96" s="234">
        <f t="shared" ref="I96:L96" si="9">I93*$D96</f>
        <v>0</v>
      </c>
      <c r="J96" s="234">
        <f t="shared" si="9"/>
        <v>0</v>
      </c>
      <c r="K96" s="234">
        <f t="shared" si="9"/>
        <v>0</v>
      </c>
      <c r="L96" s="234">
        <f t="shared" si="9"/>
        <v>0</v>
      </c>
      <c r="M96" s="14"/>
      <c r="N96" s="16"/>
      <c r="O96" s="48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5"/>
      <c r="FK96" s="15"/>
      <c r="FL96" s="15"/>
      <c r="FM96" s="15"/>
      <c r="FN96" s="15"/>
      <c r="FO96" s="15"/>
      <c r="FP96" s="15"/>
      <c r="FQ96" s="15"/>
      <c r="FR96" s="15"/>
      <c r="FS96" s="15"/>
      <c r="FT96" s="15"/>
      <c r="FU96" s="15"/>
      <c r="FV96" s="15"/>
      <c r="FW96" s="15"/>
      <c r="FX96" s="15"/>
      <c r="FY96" s="15"/>
      <c r="FZ96" s="15"/>
      <c r="GA96" s="15"/>
      <c r="GB96" s="15"/>
      <c r="GC96" s="15"/>
      <c r="GD96" s="15"/>
      <c r="GE96" s="15"/>
      <c r="GF96" s="15"/>
      <c r="GG96" s="15"/>
      <c r="GH96" s="15"/>
      <c r="GI96" s="15"/>
      <c r="GJ96" s="15"/>
      <c r="GK96" s="15"/>
      <c r="GL96" s="15"/>
      <c r="GM96" s="15"/>
      <c r="GN96" s="15"/>
      <c r="GO96" s="15"/>
      <c r="GP96" s="15"/>
      <c r="GQ96" s="15"/>
      <c r="GR96" s="15"/>
      <c r="GS96" s="15"/>
      <c r="GT96" s="15"/>
      <c r="GU96" s="15"/>
      <c r="GV96" s="15"/>
      <c r="GW96" s="15"/>
      <c r="GX96" s="15"/>
      <c r="GY96" s="15"/>
      <c r="GZ96" s="15"/>
      <c r="HA96" s="15"/>
      <c r="HB96" s="15"/>
      <c r="HC96" s="15"/>
      <c r="HD96" s="15"/>
      <c r="HE96" s="15"/>
      <c r="HF96" s="15"/>
      <c r="HG96" s="15"/>
      <c r="HH96" s="15"/>
      <c r="HI96" s="15"/>
      <c r="HJ96" s="15"/>
      <c r="HK96" s="15"/>
      <c r="HL96" s="15"/>
      <c r="HM96" s="15"/>
      <c r="HN96" s="15"/>
      <c r="HO96" s="15"/>
      <c r="HP96" s="15"/>
      <c r="HQ96" s="15"/>
      <c r="HR96" s="15"/>
      <c r="HS96" s="15"/>
      <c r="HT96" s="15"/>
      <c r="HU96" s="15"/>
      <c r="HV96" s="15"/>
      <c r="HW96" s="15"/>
      <c r="HX96" s="15"/>
      <c r="HY96" s="15"/>
      <c r="HZ96" s="15"/>
      <c r="IA96" s="15"/>
      <c r="IB96" s="15"/>
      <c r="IC96" s="15"/>
      <c r="ID96" s="15"/>
      <c r="IE96" s="15"/>
      <c r="IF96" s="15"/>
      <c r="IG96" s="15"/>
      <c r="IH96" s="15"/>
      <c r="II96" s="15"/>
      <c r="IJ96" s="15"/>
      <c r="IK96" s="15"/>
      <c r="IL96" s="15"/>
      <c r="IM96" s="15"/>
      <c r="IN96" s="15"/>
      <c r="IO96" s="15"/>
      <c r="IP96" s="15"/>
      <c r="IQ96" s="15"/>
      <c r="IR96" s="15"/>
      <c r="IS96" s="15"/>
      <c r="IT96" s="15"/>
      <c r="IU96" s="16"/>
    </row>
    <row r="97" spans="1:255" ht="17" customHeight="1">
      <c r="A97" s="133"/>
      <c r="B97" s="171"/>
      <c r="C97" s="285"/>
      <c r="D97" s="228"/>
      <c r="E97" s="228"/>
      <c r="F97" s="228"/>
      <c r="G97" s="288"/>
      <c r="H97" s="302"/>
      <c r="I97" s="191"/>
      <c r="J97" s="191"/>
      <c r="K97" s="191"/>
      <c r="L97" s="191"/>
      <c r="M97" s="14"/>
      <c r="N97" s="16"/>
      <c r="O97" s="48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  <c r="EZ97" s="15"/>
      <c r="FA97" s="15"/>
      <c r="FB97" s="15"/>
      <c r="FC97" s="15"/>
      <c r="FD97" s="15"/>
      <c r="FE97" s="15"/>
      <c r="FF97" s="15"/>
      <c r="FG97" s="15"/>
      <c r="FH97" s="15"/>
      <c r="FI97" s="15"/>
      <c r="FJ97" s="15"/>
      <c r="FK97" s="15"/>
      <c r="FL97" s="15"/>
      <c r="FM97" s="15"/>
      <c r="FN97" s="15"/>
      <c r="FO97" s="15"/>
      <c r="FP97" s="15"/>
      <c r="FQ97" s="15"/>
      <c r="FR97" s="15"/>
      <c r="FS97" s="15"/>
      <c r="FT97" s="15"/>
      <c r="FU97" s="15"/>
      <c r="FV97" s="15"/>
      <c r="FW97" s="15"/>
      <c r="FX97" s="15"/>
      <c r="FY97" s="15"/>
      <c r="FZ97" s="15"/>
      <c r="GA97" s="15"/>
      <c r="GB97" s="15"/>
      <c r="GC97" s="15"/>
      <c r="GD97" s="15"/>
      <c r="GE97" s="15"/>
      <c r="GF97" s="15"/>
      <c r="GG97" s="15"/>
      <c r="GH97" s="15"/>
      <c r="GI97" s="15"/>
      <c r="GJ97" s="15"/>
      <c r="GK97" s="15"/>
      <c r="GL97" s="15"/>
      <c r="GM97" s="15"/>
      <c r="GN97" s="15"/>
      <c r="GO97" s="15"/>
      <c r="GP97" s="15"/>
      <c r="GQ97" s="15"/>
      <c r="GR97" s="15"/>
      <c r="GS97" s="15"/>
      <c r="GT97" s="15"/>
      <c r="GU97" s="15"/>
      <c r="GV97" s="15"/>
      <c r="GW97" s="15"/>
      <c r="GX97" s="15"/>
      <c r="GY97" s="15"/>
      <c r="GZ97" s="15"/>
      <c r="HA97" s="15"/>
      <c r="HB97" s="15"/>
      <c r="HC97" s="15"/>
      <c r="HD97" s="15"/>
      <c r="HE97" s="15"/>
      <c r="HF97" s="15"/>
      <c r="HG97" s="15"/>
      <c r="HH97" s="15"/>
      <c r="HI97" s="15"/>
      <c r="HJ97" s="15"/>
      <c r="HK97" s="15"/>
      <c r="HL97" s="15"/>
      <c r="HM97" s="15"/>
      <c r="HN97" s="15"/>
      <c r="HO97" s="15"/>
      <c r="HP97" s="15"/>
      <c r="HQ97" s="15"/>
      <c r="HR97" s="15"/>
      <c r="HS97" s="15"/>
      <c r="HT97" s="15"/>
      <c r="HU97" s="15"/>
      <c r="HV97" s="15"/>
      <c r="HW97" s="15"/>
      <c r="HX97" s="15"/>
      <c r="HY97" s="15"/>
      <c r="HZ97" s="15"/>
      <c r="IA97" s="15"/>
      <c r="IB97" s="15"/>
      <c r="IC97" s="15"/>
      <c r="ID97" s="15"/>
      <c r="IE97" s="15"/>
      <c r="IF97" s="15"/>
      <c r="IG97" s="15"/>
      <c r="IH97" s="15"/>
      <c r="II97" s="15"/>
      <c r="IJ97" s="15"/>
      <c r="IK97" s="15"/>
      <c r="IL97" s="15"/>
      <c r="IM97" s="15"/>
      <c r="IN97" s="15"/>
      <c r="IO97" s="15"/>
      <c r="IP97" s="15"/>
      <c r="IQ97" s="15"/>
      <c r="IR97" s="15"/>
      <c r="IS97" s="15"/>
      <c r="IT97" s="15"/>
      <c r="IU97" s="16"/>
    </row>
    <row r="98" spans="1:255" ht="17" customHeight="1">
      <c r="A98" s="133"/>
      <c r="B98" s="175" t="str">
        <f>"Total "&amp;B69&amp;" Revenue"</f>
        <v>Total E-commerce Sales Revenue</v>
      </c>
      <c r="C98" s="289"/>
      <c r="D98" s="289"/>
      <c r="E98" s="289"/>
      <c r="F98" s="289"/>
      <c r="G98" s="290"/>
      <c r="H98" s="291">
        <f>H96</f>
        <v>0</v>
      </c>
      <c r="I98" s="180">
        <f>I96</f>
        <v>0</v>
      </c>
      <c r="J98" s="180">
        <f>J96</f>
        <v>0</v>
      </c>
      <c r="K98" s="180">
        <f>K96</f>
        <v>0</v>
      </c>
      <c r="L98" s="180">
        <f>L96</f>
        <v>0</v>
      </c>
      <c r="M98" s="14"/>
      <c r="N98" s="16"/>
      <c r="O98" s="48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15"/>
      <c r="FH98" s="15"/>
      <c r="FI98" s="15"/>
      <c r="FJ98" s="15"/>
      <c r="FK98" s="15"/>
      <c r="FL98" s="15"/>
      <c r="FM98" s="15"/>
      <c r="FN98" s="15"/>
      <c r="FO98" s="15"/>
      <c r="FP98" s="15"/>
      <c r="FQ98" s="15"/>
      <c r="FR98" s="15"/>
      <c r="FS98" s="15"/>
      <c r="FT98" s="15"/>
      <c r="FU98" s="15"/>
      <c r="FV98" s="15"/>
      <c r="FW98" s="15"/>
      <c r="FX98" s="15"/>
      <c r="FY98" s="15"/>
      <c r="FZ98" s="15"/>
      <c r="GA98" s="15"/>
      <c r="GB98" s="15"/>
      <c r="GC98" s="15"/>
      <c r="GD98" s="15"/>
      <c r="GE98" s="15"/>
      <c r="GF98" s="15"/>
      <c r="GG98" s="15"/>
      <c r="GH98" s="15"/>
      <c r="GI98" s="15"/>
      <c r="GJ98" s="15"/>
      <c r="GK98" s="15"/>
      <c r="GL98" s="15"/>
      <c r="GM98" s="15"/>
      <c r="GN98" s="15"/>
      <c r="GO98" s="15"/>
      <c r="GP98" s="15"/>
      <c r="GQ98" s="15"/>
      <c r="GR98" s="15"/>
      <c r="GS98" s="15"/>
      <c r="GT98" s="15"/>
      <c r="GU98" s="15"/>
      <c r="GV98" s="15"/>
      <c r="GW98" s="15"/>
      <c r="GX98" s="15"/>
      <c r="GY98" s="15"/>
      <c r="GZ98" s="15"/>
      <c r="HA98" s="15"/>
      <c r="HB98" s="15"/>
      <c r="HC98" s="15"/>
      <c r="HD98" s="15"/>
      <c r="HE98" s="15"/>
      <c r="HF98" s="15"/>
      <c r="HG98" s="15"/>
      <c r="HH98" s="15"/>
      <c r="HI98" s="15"/>
      <c r="HJ98" s="15"/>
      <c r="HK98" s="15"/>
      <c r="HL98" s="15"/>
      <c r="HM98" s="15"/>
      <c r="HN98" s="15"/>
      <c r="HO98" s="15"/>
      <c r="HP98" s="15"/>
      <c r="HQ98" s="15"/>
      <c r="HR98" s="15"/>
      <c r="HS98" s="15"/>
      <c r="HT98" s="15"/>
      <c r="HU98" s="15"/>
      <c r="HV98" s="15"/>
      <c r="HW98" s="15"/>
      <c r="HX98" s="15"/>
      <c r="HY98" s="15"/>
      <c r="HZ98" s="15"/>
      <c r="IA98" s="15"/>
      <c r="IB98" s="15"/>
      <c r="IC98" s="15"/>
      <c r="ID98" s="15"/>
      <c r="IE98" s="15"/>
      <c r="IF98" s="15"/>
      <c r="IG98" s="15"/>
      <c r="IH98" s="15"/>
      <c r="II98" s="15"/>
      <c r="IJ98" s="15"/>
      <c r="IK98" s="15"/>
      <c r="IL98" s="15"/>
      <c r="IM98" s="15"/>
      <c r="IN98" s="15"/>
      <c r="IO98" s="15"/>
      <c r="IP98" s="15"/>
      <c r="IQ98" s="15"/>
      <c r="IR98" s="15"/>
      <c r="IS98" s="15"/>
      <c r="IT98" s="15"/>
      <c r="IU98" s="16"/>
    </row>
    <row r="99" spans="1:255" ht="17" customHeight="1">
      <c r="A99" s="48"/>
      <c r="B99" s="303"/>
      <c r="C99" s="303"/>
      <c r="D99" s="303"/>
      <c r="E99" s="303"/>
      <c r="F99" s="303"/>
      <c r="G99" s="304"/>
      <c r="H99" s="305"/>
      <c r="I99" s="306"/>
      <c r="J99" s="306"/>
      <c r="K99" s="306"/>
      <c r="L99" s="306"/>
      <c r="M99" s="15"/>
      <c r="N99" s="16"/>
      <c r="O99" s="48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  <c r="FG99" s="15"/>
      <c r="FH99" s="15"/>
      <c r="FI99" s="15"/>
      <c r="FJ99" s="15"/>
      <c r="FK99" s="15"/>
      <c r="FL99" s="15"/>
      <c r="FM99" s="15"/>
      <c r="FN99" s="15"/>
      <c r="FO99" s="15"/>
      <c r="FP99" s="15"/>
      <c r="FQ99" s="15"/>
      <c r="FR99" s="15"/>
      <c r="FS99" s="15"/>
      <c r="FT99" s="15"/>
      <c r="FU99" s="15"/>
      <c r="FV99" s="15"/>
      <c r="FW99" s="15"/>
      <c r="FX99" s="15"/>
      <c r="FY99" s="15"/>
      <c r="FZ99" s="15"/>
      <c r="GA99" s="15"/>
      <c r="GB99" s="15"/>
      <c r="GC99" s="15"/>
      <c r="GD99" s="15"/>
      <c r="GE99" s="15"/>
      <c r="GF99" s="15"/>
      <c r="GG99" s="15"/>
      <c r="GH99" s="15"/>
      <c r="GI99" s="15"/>
      <c r="GJ99" s="15"/>
      <c r="GK99" s="15"/>
      <c r="GL99" s="15"/>
      <c r="GM99" s="15"/>
      <c r="GN99" s="15"/>
      <c r="GO99" s="15"/>
      <c r="GP99" s="15"/>
      <c r="GQ99" s="15"/>
      <c r="GR99" s="15"/>
      <c r="GS99" s="15"/>
      <c r="GT99" s="15"/>
      <c r="GU99" s="15"/>
      <c r="GV99" s="15"/>
      <c r="GW99" s="15"/>
      <c r="GX99" s="15"/>
      <c r="GY99" s="15"/>
      <c r="GZ99" s="15"/>
      <c r="HA99" s="15"/>
      <c r="HB99" s="15"/>
      <c r="HC99" s="15"/>
      <c r="HD99" s="15"/>
      <c r="HE99" s="15"/>
      <c r="HF99" s="15"/>
      <c r="HG99" s="15"/>
      <c r="HH99" s="15"/>
      <c r="HI99" s="15"/>
      <c r="HJ99" s="15"/>
      <c r="HK99" s="15"/>
      <c r="HL99" s="15"/>
      <c r="HM99" s="15"/>
      <c r="HN99" s="15"/>
      <c r="HO99" s="15"/>
      <c r="HP99" s="15"/>
      <c r="HQ99" s="15"/>
      <c r="HR99" s="15"/>
      <c r="HS99" s="15"/>
      <c r="HT99" s="15"/>
      <c r="HU99" s="15"/>
      <c r="HV99" s="15"/>
      <c r="HW99" s="15"/>
      <c r="HX99" s="15"/>
      <c r="HY99" s="15"/>
      <c r="HZ99" s="15"/>
      <c r="IA99" s="15"/>
      <c r="IB99" s="15"/>
      <c r="IC99" s="15"/>
      <c r="ID99" s="15"/>
      <c r="IE99" s="15"/>
      <c r="IF99" s="15"/>
      <c r="IG99" s="15"/>
      <c r="IH99" s="15"/>
      <c r="II99" s="15"/>
      <c r="IJ99" s="15"/>
      <c r="IK99" s="15"/>
      <c r="IL99" s="15"/>
      <c r="IM99" s="15"/>
      <c r="IN99" s="15"/>
      <c r="IO99" s="15"/>
      <c r="IP99" s="15"/>
      <c r="IQ99" s="15"/>
      <c r="IR99" s="15"/>
      <c r="IS99" s="15"/>
      <c r="IT99" s="15"/>
      <c r="IU99" s="16"/>
    </row>
    <row r="100" spans="1:255" ht="20" customHeight="1">
      <c r="A100" s="210"/>
      <c r="B100" s="211" t="s">
        <v>242</v>
      </c>
      <c r="C100" s="201"/>
      <c r="D100" s="201"/>
      <c r="E100" s="201"/>
      <c r="F100" s="201"/>
      <c r="G100" s="202"/>
      <c r="H100" s="212" t="str">
        <f t="shared" si="6"/>
        <v>Year 1</v>
      </c>
      <c r="I100" s="212" t="str">
        <f>I$3</f>
        <v>Year 2</v>
      </c>
      <c r="J100" s="212" t="str">
        <f>J$3</f>
        <v>Year 3</v>
      </c>
      <c r="K100" s="212" t="str">
        <f>K$3</f>
        <v>Year 4</v>
      </c>
      <c r="L100" s="213" t="str">
        <f>L$3</f>
        <v>Year 5</v>
      </c>
      <c r="M100" s="14"/>
      <c r="N100" s="16"/>
      <c r="O100" s="48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15"/>
      <c r="EX100" s="15"/>
      <c r="EY100" s="15"/>
      <c r="EZ100" s="15"/>
      <c r="FA100" s="15"/>
      <c r="FB100" s="15"/>
      <c r="FC100" s="15"/>
      <c r="FD100" s="15"/>
      <c r="FE100" s="15"/>
      <c r="FF100" s="15"/>
      <c r="FG100" s="15"/>
      <c r="FH100" s="15"/>
      <c r="FI100" s="15"/>
      <c r="FJ100" s="15"/>
      <c r="FK100" s="15"/>
      <c r="FL100" s="15"/>
      <c r="FM100" s="15"/>
      <c r="FN100" s="15"/>
      <c r="FO100" s="15"/>
      <c r="FP100" s="15"/>
      <c r="FQ100" s="15"/>
      <c r="FR100" s="15"/>
      <c r="FS100" s="15"/>
      <c r="FT100" s="15"/>
      <c r="FU100" s="15"/>
      <c r="FV100" s="15"/>
      <c r="FW100" s="15"/>
      <c r="FX100" s="15"/>
      <c r="FY100" s="15"/>
      <c r="FZ100" s="15"/>
      <c r="GA100" s="15"/>
      <c r="GB100" s="15"/>
      <c r="GC100" s="15"/>
      <c r="GD100" s="15"/>
      <c r="GE100" s="15"/>
      <c r="GF100" s="15"/>
      <c r="GG100" s="15"/>
      <c r="GH100" s="15"/>
      <c r="GI100" s="15"/>
      <c r="GJ100" s="15"/>
      <c r="GK100" s="15"/>
      <c r="GL100" s="15"/>
      <c r="GM100" s="15"/>
      <c r="GN100" s="15"/>
      <c r="GO100" s="15"/>
      <c r="GP100" s="15"/>
      <c r="GQ100" s="15"/>
      <c r="GR100" s="15"/>
      <c r="GS100" s="15"/>
      <c r="GT100" s="15"/>
      <c r="GU100" s="15"/>
      <c r="GV100" s="15"/>
      <c r="GW100" s="15"/>
      <c r="GX100" s="15"/>
      <c r="GY100" s="15"/>
      <c r="GZ100" s="15"/>
      <c r="HA100" s="15"/>
      <c r="HB100" s="15"/>
      <c r="HC100" s="15"/>
      <c r="HD100" s="15"/>
      <c r="HE100" s="15"/>
      <c r="HF100" s="15"/>
      <c r="HG100" s="15"/>
      <c r="HH100" s="15"/>
      <c r="HI100" s="15"/>
      <c r="HJ100" s="15"/>
      <c r="HK100" s="15"/>
      <c r="HL100" s="15"/>
      <c r="HM100" s="15"/>
      <c r="HN100" s="15"/>
      <c r="HO100" s="15"/>
      <c r="HP100" s="15"/>
      <c r="HQ100" s="15"/>
      <c r="HR100" s="15"/>
      <c r="HS100" s="15"/>
      <c r="HT100" s="15"/>
      <c r="HU100" s="15"/>
      <c r="HV100" s="15"/>
      <c r="HW100" s="15"/>
      <c r="HX100" s="15"/>
      <c r="HY100" s="15"/>
      <c r="HZ100" s="15"/>
      <c r="IA100" s="15"/>
      <c r="IB100" s="15"/>
      <c r="IC100" s="15"/>
      <c r="ID100" s="15"/>
      <c r="IE100" s="15"/>
      <c r="IF100" s="15"/>
      <c r="IG100" s="15"/>
      <c r="IH100" s="15"/>
      <c r="II100" s="15"/>
      <c r="IJ100" s="15"/>
      <c r="IK100" s="15"/>
      <c r="IL100" s="15"/>
      <c r="IM100" s="15"/>
      <c r="IN100" s="15"/>
      <c r="IO100" s="15"/>
      <c r="IP100" s="15"/>
      <c r="IQ100" s="15"/>
      <c r="IR100" s="15"/>
      <c r="IS100" s="15"/>
      <c r="IT100" s="15"/>
      <c r="IU100" s="16"/>
    </row>
    <row r="101" spans="1:255" ht="16" customHeight="1">
      <c r="A101" s="133"/>
      <c r="B101" s="214"/>
      <c r="C101" s="215"/>
      <c r="D101" s="215"/>
      <c r="E101" s="182"/>
      <c r="F101" s="182"/>
      <c r="G101" s="216"/>
      <c r="H101" s="217"/>
      <c r="I101" s="218"/>
      <c r="J101" s="218"/>
      <c r="K101" s="218"/>
      <c r="L101" s="218"/>
      <c r="M101" s="14"/>
      <c r="N101" s="16"/>
      <c r="O101" s="48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15"/>
      <c r="FH101" s="15"/>
      <c r="FI101" s="15"/>
      <c r="FJ101" s="15"/>
      <c r="FK101" s="15"/>
      <c r="FL101" s="15"/>
      <c r="FM101" s="15"/>
      <c r="FN101" s="15"/>
      <c r="FO101" s="15"/>
      <c r="FP101" s="15"/>
      <c r="FQ101" s="15"/>
      <c r="FR101" s="15"/>
      <c r="FS101" s="15"/>
      <c r="FT101" s="15"/>
      <c r="FU101" s="15"/>
      <c r="FV101" s="15"/>
      <c r="FW101" s="15"/>
      <c r="FX101" s="15"/>
      <c r="FY101" s="15"/>
      <c r="FZ101" s="15"/>
      <c r="GA101" s="15"/>
      <c r="GB101" s="15"/>
      <c r="GC101" s="15"/>
      <c r="GD101" s="15"/>
      <c r="GE101" s="15"/>
      <c r="GF101" s="15"/>
      <c r="GG101" s="15"/>
      <c r="GH101" s="15"/>
      <c r="GI101" s="15"/>
      <c r="GJ101" s="15"/>
      <c r="GK101" s="15"/>
      <c r="GL101" s="15"/>
      <c r="GM101" s="15"/>
      <c r="GN101" s="15"/>
      <c r="GO101" s="15"/>
      <c r="GP101" s="15"/>
      <c r="GQ101" s="15"/>
      <c r="GR101" s="15"/>
      <c r="GS101" s="15"/>
      <c r="GT101" s="15"/>
      <c r="GU101" s="15"/>
      <c r="GV101" s="15"/>
      <c r="GW101" s="15"/>
      <c r="GX101" s="15"/>
      <c r="GY101" s="15"/>
      <c r="GZ101" s="15"/>
      <c r="HA101" s="15"/>
      <c r="HB101" s="15"/>
      <c r="HC101" s="15"/>
      <c r="HD101" s="15"/>
      <c r="HE101" s="15"/>
      <c r="HF101" s="15"/>
      <c r="HG101" s="15"/>
      <c r="HH101" s="15"/>
      <c r="HI101" s="15"/>
      <c r="HJ101" s="15"/>
      <c r="HK101" s="15"/>
      <c r="HL101" s="15"/>
      <c r="HM101" s="15"/>
      <c r="HN101" s="15"/>
      <c r="HO101" s="15"/>
      <c r="HP101" s="15"/>
      <c r="HQ101" s="15"/>
      <c r="HR101" s="15"/>
      <c r="HS101" s="15"/>
      <c r="HT101" s="15"/>
      <c r="HU101" s="15"/>
      <c r="HV101" s="15"/>
      <c r="HW101" s="15"/>
      <c r="HX101" s="15"/>
      <c r="HY101" s="15"/>
      <c r="HZ101" s="15"/>
      <c r="IA101" s="15"/>
      <c r="IB101" s="15"/>
      <c r="IC101" s="15"/>
      <c r="ID101" s="15"/>
      <c r="IE101" s="15"/>
      <c r="IF101" s="15"/>
      <c r="IG101" s="15"/>
      <c r="IH101" s="15"/>
      <c r="II101" s="15"/>
      <c r="IJ101" s="15"/>
      <c r="IK101" s="15"/>
      <c r="IL101" s="15"/>
      <c r="IM101" s="15"/>
      <c r="IN101" s="15"/>
      <c r="IO101" s="15"/>
      <c r="IP101" s="15"/>
      <c r="IQ101" s="15"/>
      <c r="IR101" s="15"/>
      <c r="IS101" s="15"/>
      <c r="IT101" s="15"/>
      <c r="IU101" s="16"/>
    </row>
    <row r="102" spans="1:255" ht="16" customHeight="1">
      <c r="A102" s="133"/>
      <c r="B102" s="219" t="s">
        <v>253</v>
      </c>
      <c r="C102" s="35"/>
      <c r="D102" s="15"/>
      <c r="E102" s="15"/>
      <c r="F102" s="15"/>
      <c r="G102" s="295"/>
      <c r="H102" s="296"/>
      <c r="I102" s="297"/>
      <c r="J102" s="297"/>
      <c r="K102" s="297"/>
      <c r="L102" s="297"/>
      <c r="M102" s="14"/>
      <c r="N102" s="16"/>
      <c r="O102" s="48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  <c r="FG102" s="15"/>
      <c r="FH102" s="15"/>
      <c r="FI102" s="15"/>
      <c r="FJ102" s="15"/>
      <c r="FK102" s="15"/>
      <c r="FL102" s="15"/>
      <c r="FM102" s="15"/>
      <c r="FN102" s="15"/>
      <c r="FO102" s="15"/>
      <c r="FP102" s="15"/>
      <c r="FQ102" s="15"/>
      <c r="FR102" s="15"/>
      <c r="FS102" s="15"/>
      <c r="FT102" s="15"/>
      <c r="FU102" s="15"/>
      <c r="FV102" s="15"/>
      <c r="FW102" s="15"/>
      <c r="FX102" s="15"/>
      <c r="FY102" s="15"/>
      <c r="FZ102" s="15"/>
      <c r="GA102" s="15"/>
      <c r="GB102" s="15"/>
      <c r="GC102" s="15"/>
      <c r="GD102" s="15"/>
      <c r="GE102" s="15"/>
      <c r="GF102" s="15"/>
      <c r="GG102" s="15"/>
      <c r="GH102" s="15"/>
      <c r="GI102" s="15"/>
      <c r="GJ102" s="15"/>
      <c r="GK102" s="15"/>
      <c r="GL102" s="15"/>
      <c r="GM102" s="15"/>
      <c r="GN102" s="15"/>
      <c r="GO102" s="15"/>
      <c r="GP102" s="15"/>
      <c r="GQ102" s="15"/>
      <c r="GR102" s="15"/>
      <c r="GS102" s="15"/>
      <c r="GT102" s="15"/>
      <c r="GU102" s="15"/>
      <c r="GV102" s="15"/>
      <c r="GW102" s="15"/>
      <c r="GX102" s="15"/>
      <c r="GY102" s="15"/>
      <c r="GZ102" s="15"/>
      <c r="HA102" s="15"/>
      <c r="HB102" s="15"/>
      <c r="HC102" s="15"/>
      <c r="HD102" s="15"/>
      <c r="HE102" s="15"/>
      <c r="HF102" s="15"/>
      <c r="HG102" s="15"/>
      <c r="HH102" s="15"/>
      <c r="HI102" s="15"/>
      <c r="HJ102" s="15"/>
      <c r="HK102" s="15"/>
      <c r="HL102" s="15"/>
      <c r="HM102" s="15"/>
      <c r="HN102" s="15"/>
      <c r="HO102" s="15"/>
      <c r="HP102" s="15"/>
      <c r="HQ102" s="15"/>
      <c r="HR102" s="15"/>
      <c r="HS102" s="15"/>
      <c r="HT102" s="15"/>
      <c r="HU102" s="15"/>
      <c r="HV102" s="15"/>
      <c r="HW102" s="15"/>
      <c r="HX102" s="15"/>
      <c r="HY102" s="15"/>
      <c r="HZ102" s="15"/>
      <c r="IA102" s="15"/>
      <c r="IB102" s="15"/>
      <c r="IC102" s="15"/>
      <c r="ID102" s="15"/>
      <c r="IE102" s="15"/>
      <c r="IF102" s="15"/>
      <c r="IG102" s="15"/>
      <c r="IH102" s="15"/>
      <c r="II102" s="15"/>
      <c r="IJ102" s="15"/>
      <c r="IK102" s="15"/>
      <c r="IL102" s="15"/>
      <c r="IM102" s="15"/>
      <c r="IN102" s="15"/>
      <c r="IO102" s="15"/>
      <c r="IP102" s="15"/>
      <c r="IQ102" s="15"/>
      <c r="IR102" s="15"/>
      <c r="IS102" s="15"/>
      <c r="IT102" s="15"/>
      <c r="IU102" s="16"/>
    </row>
    <row r="103" spans="1:255" ht="16" customHeight="1">
      <c r="A103" s="133"/>
      <c r="B103" s="298"/>
      <c r="C103" s="595" t="s">
        <v>252</v>
      </c>
      <c r="D103" s="15"/>
      <c r="E103" s="15"/>
      <c r="F103" s="15"/>
      <c r="G103" s="295"/>
      <c r="H103" s="223">
        <f>Costs!H71</f>
        <v>0</v>
      </c>
      <c r="I103" s="223">
        <f>Costs!I71</f>
        <v>0</v>
      </c>
      <c r="J103" s="223">
        <f>Costs!J71</f>
        <v>0</v>
      </c>
      <c r="K103" s="223">
        <f>Costs!K71</f>
        <v>0</v>
      </c>
      <c r="L103" s="223">
        <f>Costs!L71</f>
        <v>0</v>
      </c>
      <c r="M103" s="14"/>
      <c r="N103" s="16"/>
      <c r="O103" s="48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5"/>
      <c r="FK103" s="15"/>
      <c r="FL103" s="15"/>
      <c r="FM103" s="15"/>
      <c r="FN103" s="15"/>
      <c r="FO103" s="15"/>
      <c r="FP103" s="15"/>
      <c r="FQ103" s="15"/>
      <c r="FR103" s="15"/>
      <c r="FS103" s="15"/>
      <c r="FT103" s="15"/>
      <c r="FU103" s="15"/>
      <c r="FV103" s="15"/>
      <c r="FW103" s="15"/>
      <c r="FX103" s="15"/>
      <c r="FY103" s="15"/>
      <c r="FZ103" s="15"/>
      <c r="GA103" s="15"/>
      <c r="GB103" s="15"/>
      <c r="GC103" s="15"/>
      <c r="GD103" s="15"/>
      <c r="GE103" s="15"/>
      <c r="GF103" s="15"/>
      <c r="GG103" s="15"/>
      <c r="GH103" s="15"/>
      <c r="GI103" s="15"/>
      <c r="GJ103" s="15"/>
      <c r="GK103" s="15"/>
      <c r="GL103" s="15"/>
      <c r="GM103" s="15"/>
      <c r="GN103" s="15"/>
      <c r="GO103" s="15"/>
      <c r="GP103" s="15"/>
      <c r="GQ103" s="15"/>
      <c r="GR103" s="15"/>
      <c r="GS103" s="15"/>
      <c r="GT103" s="15"/>
      <c r="GU103" s="15"/>
      <c r="GV103" s="15"/>
      <c r="GW103" s="15"/>
      <c r="GX103" s="15"/>
      <c r="GY103" s="15"/>
      <c r="GZ103" s="15"/>
      <c r="HA103" s="15"/>
      <c r="HB103" s="15"/>
      <c r="HC103" s="15"/>
      <c r="HD103" s="15"/>
      <c r="HE103" s="15"/>
      <c r="HF103" s="15"/>
      <c r="HG103" s="15"/>
      <c r="HH103" s="15"/>
      <c r="HI103" s="15"/>
      <c r="HJ103" s="15"/>
      <c r="HK103" s="15"/>
      <c r="HL103" s="15"/>
      <c r="HM103" s="15"/>
      <c r="HN103" s="15"/>
      <c r="HO103" s="15"/>
      <c r="HP103" s="15"/>
      <c r="HQ103" s="15"/>
      <c r="HR103" s="15"/>
      <c r="HS103" s="15"/>
      <c r="HT103" s="15"/>
      <c r="HU103" s="15"/>
      <c r="HV103" s="15"/>
      <c r="HW103" s="15"/>
      <c r="HX103" s="15"/>
      <c r="HY103" s="15"/>
      <c r="HZ103" s="15"/>
      <c r="IA103" s="15"/>
      <c r="IB103" s="15"/>
      <c r="IC103" s="15"/>
      <c r="ID103" s="15"/>
      <c r="IE103" s="15"/>
      <c r="IF103" s="15"/>
      <c r="IG103" s="15"/>
      <c r="IH103" s="15"/>
      <c r="II103" s="15"/>
      <c r="IJ103" s="15"/>
      <c r="IK103" s="15"/>
      <c r="IL103" s="15"/>
      <c r="IM103" s="15"/>
      <c r="IN103" s="15"/>
      <c r="IO103" s="15"/>
      <c r="IP103" s="15"/>
      <c r="IQ103" s="15"/>
      <c r="IR103" s="15"/>
      <c r="IS103" s="15"/>
      <c r="IT103" s="15"/>
      <c r="IU103" s="16"/>
    </row>
    <row r="104" spans="1:255" ht="16" customHeight="1">
      <c r="A104" s="133"/>
      <c r="B104" s="14"/>
      <c r="C104" s="220"/>
      <c r="D104" s="294" t="s">
        <v>255</v>
      </c>
      <c r="E104" s="15"/>
      <c r="F104" s="221"/>
      <c r="G104" s="222"/>
      <c r="H104" s="223"/>
      <c r="I104" s="223"/>
      <c r="J104" s="223"/>
      <c r="K104" s="223"/>
      <c r="L104" s="223"/>
      <c r="M104" s="14"/>
      <c r="N104" s="16"/>
      <c r="O104" s="48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5"/>
      <c r="FK104" s="15"/>
      <c r="FL104" s="15"/>
      <c r="FM104" s="15"/>
      <c r="FN104" s="15"/>
      <c r="FO104" s="15"/>
      <c r="FP104" s="15"/>
      <c r="FQ104" s="15"/>
      <c r="FR104" s="15"/>
      <c r="FS104" s="15"/>
      <c r="FT104" s="15"/>
      <c r="FU104" s="15"/>
      <c r="FV104" s="15"/>
      <c r="FW104" s="15"/>
      <c r="FX104" s="15"/>
      <c r="FY104" s="15"/>
      <c r="FZ104" s="15"/>
      <c r="GA104" s="15"/>
      <c r="GB104" s="15"/>
      <c r="GC104" s="15"/>
      <c r="GD104" s="15"/>
      <c r="GE104" s="15"/>
      <c r="GF104" s="15"/>
      <c r="GG104" s="15"/>
      <c r="GH104" s="15"/>
      <c r="GI104" s="15"/>
      <c r="GJ104" s="15"/>
      <c r="GK104" s="15"/>
      <c r="GL104" s="15"/>
      <c r="GM104" s="15"/>
      <c r="GN104" s="15"/>
      <c r="GO104" s="15"/>
      <c r="GP104" s="15"/>
      <c r="GQ104" s="15"/>
      <c r="GR104" s="15"/>
      <c r="GS104" s="15"/>
      <c r="GT104" s="15"/>
      <c r="GU104" s="15"/>
      <c r="GV104" s="15"/>
      <c r="GW104" s="15"/>
      <c r="GX104" s="15"/>
      <c r="GY104" s="15"/>
      <c r="GZ104" s="15"/>
      <c r="HA104" s="15"/>
      <c r="HB104" s="15"/>
      <c r="HC104" s="15"/>
      <c r="HD104" s="15"/>
      <c r="HE104" s="15"/>
      <c r="HF104" s="15"/>
      <c r="HG104" s="15"/>
      <c r="HH104" s="15"/>
      <c r="HI104" s="15"/>
      <c r="HJ104" s="15"/>
      <c r="HK104" s="15"/>
      <c r="HL104" s="15"/>
      <c r="HM104" s="15"/>
      <c r="HN104" s="15"/>
      <c r="HO104" s="15"/>
      <c r="HP104" s="15"/>
      <c r="HQ104" s="15"/>
      <c r="HR104" s="15"/>
      <c r="HS104" s="15"/>
      <c r="HT104" s="15"/>
      <c r="HU104" s="15"/>
      <c r="HV104" s="15"/>
      <c r="HW104" s="15"/>
      <c r="HX104" s="15"/>
      <c r="HY104" s="15"/>
      <c r="HZ104" s="15"/>
      <c r="IA104" s="15"/>
      <c r="IB104" s="15"/>
      <c r="IC104" s="15"/>
      <c r="ID104" s="15"/>
      <c r="IE104" s="15"/>
      <c r="IF104" s="15"/>
      <c r="IG104" s="15"/>
      <c r="IH104" s="15"/>
      <c r="II104" s="15"/>
      <c r="IJ104" s="15"/>
      <c r="IK104" s="15"/>
      <c r="IL104" s="15"/>
      <c r="IM104" s="15"/>
      <c r="IN104" s="15"/>
      <c r="IO104" s="15"/>
      <c r="IP104" s="15"/>
      <c r="IQ104" s="15"/>
      <c r="IR104" s="15"/>
      <c r="IS104" s="15"/>
      <c r="IT104" s="15"/>
      <c r="IU104" s="16"/>
    </row>
    <row r="105" spans="1:255" ht="16" customHeight="1">
      <c r="A105" s="133"/>
      <c r="B105" s="14"/>
      <c r="C105" s="270" t="s">
        <v>254</v>
      </c>
      <c r="D105" s="254">
        <v>20</v>
      </c>
      <c r="E105" s="272"/>
      <c r="F105" s="221"/>
      <c r="G105" s="222"/>
      <c r="H105" s="223">
        <f>$D105*52</f>
        <v>1040</v>
      </c>
      <c r="I105" s="223">
        <f t="shared" ref="I105:L105" si="10">$D105*52</f>
        <v>1040</v>
      </c>
      <c r="J105" s="223">
        <f t="shared" si="10"/>
        <v>1040</v>
      </c>
      <c r="K105" s="223">
        <f t="shared" si="10"/>
        <v>1040</v>
      </c>
      <c r="L105" s="223">
        <f t="shared" si="10"/>
        <v>1040</v>
      </c>
      <c r="M105" s="300"/>
      <c r="N105" s="301"/>
      <c r="O105" s="48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  <c r="FR105" s="15"/>
      <c r="FS105" s="15"/>
      <c r="FT105" s="15"/>
      <c r="FU105" s="15"/>
      <c r="FV105" s="15"/>
      <c r="FW105" s="15"/>
      <c r="FX105" s="15"/>
      <c r="FY105" s="15"/>
      <c r="FZ105" s="15"/>
      <c r="GA105" s="15"/>
      <c r="GB105" s="15"/>
      <c r="GC105" s="15"/>
      <c r="GD105" s="15"/>
      <c r="GE105" s="15"/>
      <c r="GF105" s="15"/>
      <c r="GG105" s="15"/>
      <c r="GH105" s="15"/>
      <c r="GI105" s="15"/>
      <c r="GJ105" s="15"/>
      <c r="GK105" s="15"/>
      <c r="GL105" s="15"/>
      <c r="GM105" s="15"/>
      <c r="GN105" s="15"/>
      <c r="GO105" s="15"/>
      <c r="GP105" s="15"/>
      <c r="GQ105" s="15"/>
      <c r="GR105" s="15"/>
      <c r="GS105" s="15"/>
      <c r="GT105" s="15"/>
      <c r="GU105" s="15"/>
      <c r="GV105" s="15"/>
      <c r="GW105" s="15"/>
      <c r="GX105" s="15"/>
      <c r="GY105" s="15"/>
      <c r="GZ105" s="15"/>
      <c r="HA105" s="15"/>
      <c r="HB105" s="15"/>
      <c r="HC105" s="15"/>
      <c r="HD105" s="15"/>
      <c r="HE105" s="15"/>
      <c r="HF105" s="15"/>
      <c r="HG105" s="15"/>
      <c r="HH105" s="15"/>
      <c r="HI105" s="15"/>
      <c r="HJ105" s="15"/>
      <c r="HK105" s="15"/>
      <c r="HL105" s="15"/>
      <c r="HM105" s="15"/>
      <c r="HN105" s="15"/>
      <c r="HO105" s="15"/>
      <c r="HP105" s="15"/>
      <c r="HQ105" s="15"/>
      <c r="HR105" s="15"/>
      <c r="HS105" s="15"/>
      <c r="HT105" s="15"/>
      <c r="HU105" s="15"/>
      <c r="HV105" s="15"/>
      <c r="HW105" s="15"/>
      <c r="HX105" s="15"/>
      <c r="HY105" s="15"/>
      <c r="HZ105" s="15"/>
      <c r="IA105" s="15"/>
      <c r="IB105" s="15"/>
      <c r="IC105" s="15"/>
      <c r="ID105" s="15"/>
      <c r="IE105" s="15"/>
      <c r="IF105" s="15"/>
      <c r="IG105" s="15"/>
      <c r="IH105" s="15"/>
      <c r="II105" s="15"/>
      <c r="IJ105" s="15"/>
      <c r="IK105" s="15"/>
      <c r="IL105" s="15"/>
      <c r="IM105" s="15"/>
      <c r="IN105" s="15"/>
      <c r="IO105" s="15"/>
      <c r="IP105" s="15"/>
      <c r="IQ105" s="15"/>
      <c r="IR105" s="15"/>
      <c r="IS105" s="15"/>
      <c r="IT105" s="15"/>
      <c r="IU105" s="16"/>
    </row>
    <row r="106" spans="1:255" ht="16" customHeight="1">
      <c r="A106" s="133"/>
      <c r="B106" s="14"/>
      <c r="C106" s="220"/>
      <c r="D106" s="221"/>
      <c r="E106" s="221"/>
      <c r="F106" s="221"/>
      <c r="G106" s="222"/>
      <c r="H106" s="248"/>
      <c r="I106" s="249"/>
      <c r="J106" s="249"/>
      <c r="K106" s="249"/>
      <c r="L106" s="249"/>
      <c r="M106" s="14"/>
      <c r="N106" s="16"/>
      <c r="O106" s="48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5"/>
      <c r="FK106" s="15"/>
      <c r="FL106" s="15"/>
      <c r="FM106" s="15"/>
      <c r="FN106" s="15"/>
      <c r="FO106" s="15"/>
      <c r="FP106" s="15"/>
      <c r="FQ106" s="15"/>
      <c r="FR106" s="15"/>
      <c r="FS106" s="15"/>
      <c r="FT106" s="15"/>
      <c r="FU106" s="15"/>
      <c r="FV106" s="15"/>
      <c r="FW106" s="15"/>
      <c r="FX106" s="15"/>
      <c r="FY106" s="15"/>
      <c r="FZ106" s="15"/>
      <c r="GA106" s="15"/>
      <c r="GB106" s="15"/>
      <c r="GC106" s="15"/>
      <c r="GD106" s="15"/>
      <c r="GE106" s="15"/>
      <c r="GF106" s="15"/>
      <c r="GG106" s="15"/>
      <c r="GH106" s="15"/>
      <c r="GI106" s="15"/>
      <c r="GJ106" s="15"/>
      <c r="GK106" s="15"/>
      <c r="GL106" s="15"/>
      <c r="GM106" s="15"/>
      <c r="GN106" s="15"/>
      <c r="GO106" s="15"/>
      <c r="GP106" s="15"/>
      <c r="GQ106" s="15"/>
      <c r="GR106" s="15"/>
      <c r="GS106" s="15"/>
      <c r="GT106" s="15"/>
      <c r="GU106" s="15"/>
      <c r="GV106" s="15"/>
      <c r="GW106" s="15"/>
      <c r="GX106" s="15"/>
      <c r="GY106" s="15"/>
      <c r="GZ106" s="15"/>
      <c r="HA106" s="15"/>
      <c r="HB106" s="15"/>
      <c r="HC106" s="15"/>
      <c r="HD106" s="15"/>
      <c r="HE106" s="15"/>
      <c r="HF106" s="15"/>
      <c r="HG106" s="15"/>
      <c r="HH106" s="15"/>
      <c r="HI106" s="15"/>
      <c r="HJ106" s="15"/>
      <c r="HK106" s="15"/>
      <c r="HL106" s="15"/>
      <c r="HM106" s="15"/>
      <c r="HN106" s="15"/>
      <c r="HO106" s="15"/>
      <c r="HP106" s="15"/>
      <c r="HQ106" s="15"/>
      <c r="HR106" s="15"/>
      <c r="HS106" s="15"/>
      <c r="HT106" s="15"/>
      <c r="HU106" s="15"/>
      <c r="HV106" s="15"/>
      <c r="HW106" s="15"/>
      <c r="HX106" s="15"/>
      <c r="HY106" s="15"/>
      <c r="HZ106" s="15"/>
      <c r="IA106" s="15"/>
      <c r="IB106" s="15"/>
      <c r="IC106" s="15"/>
      <c r="ID106" s="15"/>
      <c r="IE106" s="15"/>
      <c r="IF106" s="15"/>
      <c r="IG106" s="15"/>
      <c r="IH106" s="15"/>
      <c r="II106" s="15"/>
      <c r="IJ106" s="15"/>
      <c r="IK106" s="15"/>
      <c r="IL106" s="15"/>
      <c r="IM106" s="15"/>
      <c r="IN106" s="15"/>
      <c r="IO106" s="15"/>
      <c r="IP106" s="15"/>
      <c r="IQ106" s="15"/>
      <c r="IR106" s="15"/>
      <c r="IS106" s="15"/>
      <c r="IT106" s="15"/>
      <c r="IU106" s="16"/>
    </row>
    <row r="107" spans="1:255" ht="16" customHeight="1">
      <c r="A107" s="133"/>
      <c r="B107" s="14"/>
      <c r="C107" s="189" t="s">
        <v>256</v>
      </c>
      <c r="D107" s="135"/>
      <c r="E107" s="135"/>
      <c r="F107" s="135"/>
      <c r="G107" s="245"/>
      <c r="H107" s="246">
        <f>H105*H103</f>
        <v>0</v>
      </c>
      <c r="I107" s="246">
        <f t="shared" ref="I107:L107" si="11">I105*I103</f>
        <v>0</v>
      </c>
      <c r="J107" s="246">
        <f t="shared" si="11"/>
        <v>0</v>
      </c>
      <c r="K107" s="246">
        <f t="shared" si="11"/>
        <v>0</v>
      </c>
      <c r="L107" s="246">
        <f t="shared" si="11"/>
        <v>0</v>
      </c>
      <c r="M107" s="14"/>
      <c r="N107" s="16"/>
      <c r="O107" s="48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  <c r="FG107" s="15"/>
      <c r="FH107" s="15"/>
      <c r="FI107" s="15"/>
      <c r="FJ107" s="15"/>
      <c r="FK107" s="15"/>
      <c r="FL107" s="15"/>
      <c r="FM107" s="15"/>
      <c r="FN107" s="15"/>
      <c r="FO107" s="15"/>
      <c r="FP107" s="15"/>
      <c r="FQ107" s="15"/>
      <c r="FR107" s="15"/>
      <c r="FS107" s="15"/>
      <c r="FT107" s="15"/>
      <c r="FU107" s="15"/>
      <c r="FV107" s="15"/>
      <c r="FW107" s="15"/>
      <c r="FX107" s="15"/>
      <c r="FY107" s="15"/>
      <c r="FZ107" s="15"/>
      <c r="GA107" s="15"/>
      <c r="GB107" s="15"/>
      <c r="GC107" s="15"/>
      <c r="GD107" s="15"/>
      <c r="GE107" s="15"/>
      <c r="GF107" s="15"/>
      <c r="GG107" s="15"/>
      <c r="GH107" s="15"/>
      <c r="GI107" s="15"/>
      <c r="GJ107" s="15"/>
      <c r="GK107" s="15"/>
      <c r="GL107" s="15"/>
      <c r="GM107" s="15"/>
      <c r="GN107" s="15"/>
      <c r="GO107" s="15"/>
      <c r="GP107" s="15"/>
      <c r="GQ107" s="15"/>
      <c r="GR107" s="15"/>
      <c r="GS107" s="15"/>
      <c r="GT107" s="15"/>
      <c r="GU107" s="15"/>
      <c r="GV107" s="15"/>
      <c r="GW107" s="15"/>
      <c r="GX107" s="15"/>
      <c r="GY107" s="15"/>
      <c r="GZ107" s="15"/>
      <c r="HA107" s="15"/>
      <c r="HB107" s="15"/>
      <c r="HC107" s="15"/>
      <c r="HD107" s="15"/>
      <c r="HE107" s="15"/>
      <c r="HF107" s="15"/>
      <c r="HG107" s="15"/>
      <c r="HH107" s="15"/>
      <c r="HI107" s="15"/>
      <c r="HJ107" s="15"/>
      <c r="HK107" s="15"/>
      <c r="HL107" s="15"/>
      <c r="HM107" s="15"/>
      <c r="HN107" s="15"/>
      <c r="HO107" s="15"/>
      <c r="HP107" s="15"/>
      <c r="HQ107" s="15"/>
      <c r="HR107" s="15"/>
      <c r="HS107" s="15"/>
      <c r="HT107" s="15"/>
      <c r="HU107" s="15"/>
      <c r="HV107" s="15"/>
      <c r="HW107" s="15"/>
      <c r="HX107" s="15"/>
      <c r="HY107" s="15"/>
      <c r="HZ107" s="15"/>
      <c r="IA107" s="15"/>
      <c r="IB107" s="15"/>
      <c r="IC107" s="15"/>
      <c r="ID107" s="15"/>
      <c r="IE107" s="15"/>
      <c r="IF107" s="15"/>
      <c r="IG107" s="15"/>
      <c r="IH107" s="15"/>
      <c r="II107" s="15"/>
      <c r="IJ107" s="15"/>
      <c r="IK107" s="15"/>
      <c r="IL107" s="15"/>
      <c r="IM107" s="15"/>
      <c r="IN107" s="15"/>
      <c r="IO107" s="15"/>
      <c r="IP107" s="15"/>
      <c r="IQ107" s="15"/>
      <c r="IR107" s="15"/>
      <c r="IS107" s="15"/>
      <c r="IT107" s="15"/>
      <c r="IU107" s="16"/>
    </row>
    <row r="108" spans="1:255" ht="17" customHeight="1">
      <c r="A108" s="133"/>
      <c r="B108" s="171"/>
      <c r="C108" s="285"/>
      <c r="D108" s="228"/>
      <c r="E108" s="228"/>
      <c r="F108" s="228"/>
      <c r="G108" s="288"/>
      <c r="H108" s="302"/>
      <c r="I108" s="191"/>
      <c r="J108" s="191"/>
      <c r="K108" s="191"/>
      <c r="L108" s="191"/>
      <c r="M108" s="14"/>
      <c r="N108" s="16"/>
      <c r="O108" s="48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  <c r="FR108" s="15"/>
      <c r="FS108" s="15"/>
      <c r="FT108" s="15"/>
      <c r="FU108" s="15"/>
      <c r="FV108" s="15"/>
      <c r="FW108" s="15"/>
      <c r="FX108" s="15"/>
      <c r="FY108" s="15"/>
      <c r="FZ108" s="15"/>
      <c r="GA108" s="15"/>
      <c r="GB108" s="15"/>
      <c r="GC108" s="15"/>
      <c r="GD108" s="15"/>
      <c r="GE108" s="15"/>
      <c r="GF108" s="15"/>
      <c r="GG108" s="15"/>
      <c r="GH108" s="15"/>
      <c r="GI108" s="15"/>
      <c r="GJ108" s="15"/>
      <c r="GK108" s="15"/>
      <c r="GL108" s="15"/>
      <c r="GM108" s="15"/>
      <c r="GN108" s="15"/>
      <c r="GO108" s="15"/>
      <c r="GP108" s="15"/>
      <c r="GQ108" s="15"/>
      <c r="GR108" s="15"/>
      <c r="GS108" s="15"/>
      <c r="GT108" s="15"/>
      <c r="GU108" s="15"/>
      <c r="GV108" s="15"/>
      <c r="GW108" s="15"/>
      <c r="GX108" s="15"/>
      <c r="GY108" s="15"/>
      <c r="GZ108" s="15"/>
      <c r="HA108" s="15"/>
      <c r="HB108" s="15"/>
      <c r="HC108" s="15"/>
      <c r="HD108" s="15"/>
      <c r="HE108" s="15"/>
      <c r="HF108" s="15"/>
      <c r="HG108" s="15"/>
      <c r="HH108" s="15"/>
      <c r="HI108" s="15"/>
      <c r="HJ108" s="15"/>
      <c r="HK108" s="15"/>
      <c r="HL108" s="15"/>
      <c r="HM108" s="15"/>
      <c r="HN108" s="15"/>
      <c r="HO108" s="15"/>
      <c r="HP108" s="15"/>
      <c r="HQ108" s="15"/>
      <c r="HR108" s="15"/>
      <c r="HS108" s="15"/>
      <c r="HT108" s="15"/>
      <c r="HU108" s="15"/>
      <c r="HV108" s="15"/>
      <c r="HW108" s="15"/>
      <c r="HX108" s="15"/>
      <c r="HY108" s="15"/>
      <c r="HZ108" s="15"/>
      <c r="IA108" s="15"/>
      <c r="IB108" s="15"/>
      <c r="IC108" s="15"/>
      <c r="ID108" s="15"/>
      <c r="IE108" s="15"/>
      <c r="IF108" s="15"/>
      <c r="IG108" s="15"/>
      <c r="IH108" s="15"/>
      <c r="II108" s="15"/>
      <c r="IJ108" s="15"/>
      <c r="IK108" s="15"/>
      <c r="IL108" s="15"/>
      <c r="IM108" s="15"/>
      <c r="IN108" s="15"/>
      <c r="IO108" s="15"/>
      <c r="IP108" s="15"/>
      <c r="IQ108" s="15"/>
      <c r="IR108" s="15"/>
      <c r="IS108" s="15"/>
      <c r="IT108" s="15"/>
      <c r="IU108" s="16"/>
    </row>
    <row r="109" spans="1:255" ht="16" customHeight="1">
      <c r="A109" s="133"/>
      <c r="B109" s="219" t="s">
        <v>257</v>
      </c>
      <c r="C109" s="35"/>
      <c r="D109" s="294" t="s">
        <v>248</v>
      </c>
      <c r="E109" s="15"/>
      <c r="F109" s="15"/>
      <c r="G109" s="295"/>
      <c r="H109" s="296"/>
      <c r="I109" s="297"/>
      <c r="J109" s="297"/>
      <c r="K109" s="297"/>
      <c r="L109" s="297"/>
      <c r="M109" s="14"/>
      <c r="N109" s="16"/>
      <c r="O109" s="48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  <c r="FG109" s="15"/>
      <c r="FH109" s="15"/>
      <c r="FI109" s="15"/>
      <c r="FJ109" s="15"/>
      <c r="FK109" s="15"/>
      <c r="FL109" s="15"/>
      <c r="FM109" s="15"/>
      <c r="FN109" s="15"/>
      <c r="FO109" s="15"/>
      <c r="FP109" s="15"/>
      <c r="FQ109" s="15"/>
      <c r="FR109" s="15"/>
      <c r="FS109" s="15"/>
      <c r="FT109" s="15"/>
      <c r="FU109" s="15"/>
      <c r="FV109" s="15"/>
      <c r="FW109" s="15"/>
      <c r="FX109" s="15"/>
      <c r="FY109" s="15"/>
      <c r="FZ109" s="15"/>
      <c r="GA109" s="15"/>
      <c r="GB109" s="15"/>
      <c r="GC109" s="15"/>
      <c r="GD109" s="15"/>
      <c r="GE109" s="15"/>
      <c r="GF109" s="15"/>
      <c r="GG109" s="15"/>
      <c r="GH109" s="15"/>
      <c r="GI109" s="15"/>
      <c r="GJ109" s="15"/>
      <c r="GK109" s="15"/>
      <c r="GL109" s="15"/>
      <c r="GM109" s="15"/>
      <c r="GN109" s="15"/>
      <c r="GO109" s="15"/>
      <c r="GP109" s="15"/>
      <c r="GQ109" s="15"/>
      <c r="GR109" s="15"/>
      <c r="GS109" s="15"/>
      <c r="GT109" s="15"/>
      <c r="GU109" s="15"/>
      <c r="GV109" s="15"/>
      <c r="GW109" s="15"/>
      <c r="GX109" s="15"/>
      <c r="GY109" s="15"/>
      <c r="GZ109" s="15"/>
      <c r="HA109" s="15"/>
      <c r="HB109" s="15"/>
      <c r="HC109" s="15"/>
      <c r="HD109" s="15"/>
      <c r="HE109" s="15"/>
      <c r="HF109" s="15"/>
      <c r="HG109" s="15"/>
      <c r="HH109" s="15"/>
      <c r="HI109" s="15"/>
      <c r="HJ109" s="15"/>
      <c r="HK109" s="15"/>
      <c r="HL109" s="15"/>
      <c r="HM109" s="15"/>
      <c r="HN109" s="15"/>
      <c r="HO109" s="15"/>
      <c r="HP109" s="15"/>
      <c r="HQ109" s="15"/>
      <c r="HR109" s="15"/>
      <c r="HS109" s="15"/>
      <c r="HT109" s="15"/>
      <c r="HU109" s="15"/>
      <c r="HV109" s="15"/>
      <c r="HW109" s="15"/>
      <c r="HX109" s="15"/>
      <c r="HY109" s="15"/>
      <c r="HZ109" s="15"/>
      <c r="IA109" s="15"/>
      <c r="IB109" s="15"/>
      <c r="IC109" s="15"/>
      <c r="ID109" s="15"/>
      <c r="IE109" s="15"/>
      <c r="IF109" s="15"/>
      <c r="IG109" s="15"/>
      <c r="IH109" s="15"/>
      <c r="II109" s="15"/>
      <c r="IJ109" s="15"/>
      <c r="IK109" s="15"/>
      <c r="IL109" s="15"/>
      <c r="IM109" s="15"/>
      <c r="IN109" s="15"/>
      <c r="IO109" s="15"/>
      <c r="IP109" s="15"/>
      <c r="IQ109" s="15"/>
      <c r="IR109" s="15"/>
      <c r="IS109" s="15"/>
      <c r="IT109" s="15"/>
      <c r="IU109" s="16"/>
    </row>
    <row r="110" spans="1:255" ht="16" customHeight="1">
      <c r="A110" s="133"/>
      <c r="B110" s="298"/>
      <c r="C110" s="595" t="s">
        <v>258</v>
      </c>
      <c r="D110" s="299">
        <v>0.01</v>
      </c>
      <c r="E110" s="230"/>
      <c r="F110" s="15"/>
      <c r="G110" s="295"/>
      <c r="H110" s="223">
        <f>$D110*H107</f>
        <v>0</v>
      </c>
      <c r="I110" s="223">
        <f t="shared" ref="I110:L110" si="12">$D110*I107</f>
        <v>0</v>
      </c>
      <c r="J110" s="223">
        <f t="shared" si="12"/>
        <v>0</v>
      </c>
      <c r="K110" s="223">
        <f t="shared" si="12"/>
        <v>0</v>
      </c>
      <c r="L110" s="223">
        <f t="shared" si="12"/>
        <v>0</v>
      </c>
      <c r="M110" s="14"/>
      <c r="N110" s="16"/>
      <c r="O110" s="48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  <c r="EI110" s="15"/>
      <c r="EJ110" s="15"/>
      <c r="EK110" s="15"/>
      <c r="EL110" s="15"/>
      <c r="EM110" s="15"/>
      <c r="EN110" s="15"/>
      <c r="EO110" s="15"/>
      <c r="EP110" s="15"/>
      <c r="EQ110" s="15"/>
      <c r="ER110" s="15"/>
      <c r="ES110" s="15"/>
      <c r="ET110" s="15"/>
      <c r="EU110" s="15"/>
      <c r="EV110" s="15"/>
      <c r="EW110" s="15"/>
      <c r="EX110" s="15"/>
      <c r="EY110" s="15"/>
      <c r="EZ110" s="15"/>
      <c r="FA110" s="15"/>
      <c r="FB110" s="15"/>
      <c r="FC110" s="15"/>
      <c r="FD110" s="15"/>
      <c r="FE110" s="15"/>
      <c r="FF110" s="15"/>
      <c r="FG110" s="15"/>
      <c r="FH110" s="15"/>
      <c r="FI110" s="15"/>
      <c r="FJ110" s="15"/>
      <c r="FK110" s="15"/>
      <c r="FL110" s="15"/>
      <c r="FM110" s="15"/>
      <c r="FN110" s="15"/>
      <c r="FO110" s="15"/>
      <c r="FP110" s="15"/>
      <c r="FQ110" s="15"/>
      <c r="FR110" s="15"/>
      <c r="FS110" s="15"/>
      <c r="FT110" s="15"/>
      <c r="FU110" s="15"/>
      <c r="FV110" s="15"/>
      <c r="FW110" s="15"/>
      <c r="FX110" s="15"/>
      <c r="FY110" s="15"/>
      <c r="FZ110" s="15"/>
      <c r="GA110" s="15"/>
      <c r="GB110" s="15"/>
      <c r="GC110" s="15"/>
      <c r="GD110" s="15"/>
      <c r="GE110" s="15"/>
      <c r="GF110" s="15"/>
      <c r="GG110" s="15"/>
      <c r="GH110" s="15"/>
      <c r="GI110" s="15"/>
      <c r="GJ110" s="15"/>
      <c r="GK110" s="15"/>
      <c r="GL110" s="15"/>
      <c r="GM110" s="15"/>
      <c r="GN110" s="15"/>
      <c r="GO110" s="15"/>
      <c r="GP110" s="15"/>
      <c r="GQ110" s="15"/>
      <c r="GR110" s="15"/>
      <c r="GS110" s="15"/>
      <c r="GT110" s="15"/>
      <c r="GU110" s="15"/>
      <c r="GV110" s="15"/>
      <c r="GW110" s="15"/>
      <c r="GX110" s="15"/>
      <c r="GY110" s="15"/>
      <c r="GZ110" s="15"/>
      <c r="HA110" s="15"/>
      <c r="HB110" s="15"/>
      <c r="HC110" s="15"/>
      <c r="HD110" s="15"/>
      <c r="HE110" s="15"/>
      <c r="HF110" s="15"/>
      <c r="HG110" s="15"/>
      <c r="HH110" s="15"/>
      <c r="HI110" s="15"/>
      <c r="HJ110" s="15"/>
      <c r="HK110" s="15"/>
      <c r="HL110" s="15"/>
      <c r="HM110" s="15"/>
      <c r="HN110" s="15"/>
      <c r="HO110" s="15"/>
      <c r="HP110" s="15"/>
      <c r="HQ110" s="15"/>
      <c r="HR110" s="15"/>
      <c r="HS110" s="15"/>
      <c r="HT110" s="15"/>
      <c r="HU110" s="15"/>
      <c r="HV110" s="15"/>
      <c r="HW110" s="15"/>
      <c r="HX110" s="15"/>
      <c r="HY110" s="15"/>
      <c r="HZ110" s="15"/>
      <c r="IA110" s="15"/>
      <c r="IB110" s="15"/>
      <c r="IC110" s="15"/>
      <c r="ID110" s="15"/>
      <c r="IE110" s="15"/>
      <c r="IF110" s="15"/>
      <c r="IG110" s="15"/>
      <c r="IH110" s="15"/>
      <c r="II110" s="15"/>
      <c r="IJ110" s="15"/>
      <c r="IK110" s="15"/>
      <c r="IL110" s="15"/>
      <c r="IM110" s="15"/>
      <c r="IN110" s="15"/>
      <c r="IO110" s="15"/>
      <c r="IP110" s="15"/>
      <c r="IQ110" s="15"/>
      <c r="IR110" s="15"/>
      <c r="IS110" s="15"/>
      <c r="IT110" s="15"/>
      <c r="IU110" s="16"/>
    </row>
    <row r="111" spans="1:255" ht="16" customHeight="1">
      <c r="A111" s="133"/>
      <c r="B111" s="14"/>
      <c r="C111" s="227"/>
      <c r="D111" s="15"/>
      <c r="E111" s="15"/>
      <c r="F111" s="15"/>
      <c r="G111" s="295"/>
      <c r="H111" s="295"/>
      <c r="I111" s="295"/>
      <c r="J111" s="295"/>
      <c r="K111" s="295"/>
      <c r="L111" s="295"/>
      <c r="M111" s="230"/>
      <c r="N111" s="16"/>
      <c r="O111" s="48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15"/>
      <c r="EX111" s="15"/>
      <c r="EY111" s="15"/>
      <c r="EZ111" s="15"/>
      <c r="FA111" s="15"/>
      <c r="FB111" s="15"/>
      <c r="FC111" s="15"/>
      <c r="FD111" s="15"/>
      <c r="FE111" s="15"/>
      <c r="FF111" s="15"/>
      <c r="FG111" s="15"/>
      <c r="FH111" s="15"/>
      <c r="FI111" s="15"/>
      <c r="FJ111" s="15"/>
      <c r="FK111" s="15"/>
      <c r="FL111" s="15"/>
      <c r="FM111" s="15"/>
      <c r="FN111" s="15"/>
      <c r="FO111" s="15"/>
      <c r="FP111" s="15"/>
      <c r="FQ111" s="15"/>
      <c r="FR111" s="15"/>
      <c r="FS111" s="15"/>
      <c r="FT111" s="15"/>
      <c r="FU111" s="15"/>
      <c r="FV111" s="15"/>
      <c r="FW111" s="15"/>
      <c r="FX111" s="15"/>
      <c r="FY111" s="15"/>
      <c r="FZ111" s="15"/>
      <c r="GA111" s="15"/>
      <c r="GB111" s="15"/>
      <c r="GC111" s="15"/>
      <c r="GD111" s="15"/>
      <c r="GE111" s="15"/>
      <c r="GF111" s="15"/>
      <c r="GG111" s="15"/>
      <c r="GH111" s="15"/>
      <c r="GI111" s="15"/>
      <c r="GJ111" s="15"/>
      <c r="GK111" s="15"/>
      <c r="GL111" s="15"/>
      <c r="GM111" s="15"/>
      <c r="GN111" s="15"/>
      <c r="GO111" s="15"/>
      <c r="GP111" s="15"/>
      <c r="GQ111" s="15"/>
      <c r="GR111" s="15"/>
      <c r="GS111" s="15"/>
      <c r="GT111" s="15"/>
      <c r="GU111" s="15"/>
      <c r="GV111" s="15"/>
      <c r="GW111" s="15"/>
      <c r="GX111" s="15"/>
      <c r="GY111" s="15"/>
      <c r="GZ111" s="15"/>
      <c r="HA111" s="15"/>
      <c r="HB111" s="15"/>
      <c r="HC111" s="15"/>
      <c r="HD111" s="15"/>
      <c r="HE111" s="15"/>
      <c r="HF111" s="15"/>
      <c r="HG111" s="15"/>
      <c r="HH111" s="15"/>
      <c r="HI111" s="15"/>
      <c r="HJ111" s="15"/>
      <c r="HK111" s="15"/>
      <c r="HL111" s="15"/>
      <c r="HM111" s="15"/>
      <c r="HN111" s="15"/>
      <c r="HO111" s="15"/>
      <c r="HP111" s="15"/>
      <c r="HQ111" s="15"/>
      <c r="HR111" s="15"/>
      <c r="HS111" s="15"/>
      <c r="HT111" s="15"/>
      <c r="HU111" s="15"/>
      <c r="HV111" s="15"/>
      <c r="HW111" s="15"/>
      <c r="HX111" s="15"/>
      <c r="HY111" s="15"/>
      <c r="HZ111" s="15"/>
      <c r="IA111" s="15"/>
      <c r="IB111" s="15"/>
      <c r="IC111" s="15"/>
      <c r="ID111" s="15"/>
      <c r="IE111" s="15"/>
      <c r="IF111" s="15"/>
      <c r="IG111" s="15"/>
      <c r="IH111" s="15"/>
      <c r="II111" s="15"/>
      <c r="IJ111" s="15"/>
      <c r="IK111" s="15"/>
      <c r="IL111" s="15"/>
      <c r="IM111" s="15"/>
      <c r="IN111" s="15"/>
      <c r="IO111" s="15"/>
      <c r="IP111" s="15"/>
      <c r="IQ111" s="15"/>
      <c r="IR111" s="15"/>
      <c r="IS111" s="15"/>
      <c r="IT111" s="15"/>
      <c r="IU111" s="16"/>
    </row>
    <row r="112" spans="1:255" ht="16" customHeight="1">
      <c r="A112" s="133"/>
      <c r="B112" s="14"/>
      <c r="C112" s="220"/>
      <c r="D112" s="294" t="s">
        <v>90</v>
      </c>
      <c r="E112" s="15"/>
      <c r="F112" s="221"/>
      <c r="G112" s="222"/>
      <c r="H112" s="223"/>
      <c r="I112" s="224"/>
      <c r="J112" s="224"/>
      <c r="K112" s="224"/>
      <c r="L112" s="224"/>
      <c r="M112" s="14"/>
      <c r="N112" s="16"/>
      <c r="O112" s="48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  <c r="EI112" s="15"/>
      <c r="EJ112" s="15"/>
      <c r="EK112" s="15"/>
      <c r="EL112" s="15"/>
      <c r="EM112" s="15"/>
      <c r="EN112" s="15"/>
      <c r="EO112" s="15"/>
      <c r="EP112" s="15"/>
      <c r="EQ112" s="15"/>
      <c r="ER112" s="15"/>
      <c r="ES112" s="15"/>
      <c r="ET112" s="15"/>
      <c r="EU112" s="15"/>
      <c r="EV112" s="15"/>
      <c r="EW112" s="15"/>
      <c r="EX112" s="15"/>
      <c r="EY112" s="15"/>
      <c r="EZ112" s="15"/>
      <c r="FA112" s="15"/>
      <c r="FB112" s="15"/>
      <c r="FC112" s="15"/>
      <c r="FD112" s="15"/>
      <c r="FE112" s="15"/>
      <c r="FF112" s="15"/>
      <c r="FG112" s="15"/>
      <c r="FH112" s="15"/>
      <c r="FI112" s="15"/>
      <c r="FJ112" s="15"/>
      <c r="FK112" s="15"/>
      <c r="FL112" s="15"/>
      <c r="FM112" s="15"/>
      <c r="FN112" s="15"/>
      <c r="FO112" s="15"/>
      <c r="FP112" s="15"/>
      <c r="FQ112" s="15"/>
      <c r="FR112" s="15"/>
      <c r="FS112" s="15"/>
      <c r="FT112" s="15"/>
      <c r="FU112" s="15"/>
      <c r="FV112" s="15"/>
      <c r="FW112" s="15"/>
      <c r="FX112" s="15"/>
      <c r="FY112" s="15"/>
      <c r="FZ112" s="15"/>
      <c r="GA112" s="15"/>
      <c r="GB112" s="15"/>
      <c r="GC112" s="15"/>
      <c r="GD112" s="15"/>
      <c r="GE112" s="15"/>
      <c r="GF112" s="15"/>
      <c r="GG112" s="15"/>
      <c r="GH112" s="15"/>
      <c r="GI112" s="15"/>
      <c r="GJ112" s="15"/>
      <c r="GK112" s="15"/>
      <c r="GL112" s="15"/>
      <c r="GM112" s="15"/>
      <c r="GN112" s="15"/>
      <c r="GO112" s="15"/>
      <c r="GP112" s="15"/>
      <c r="GQ112" s="15"/>
      <c r="GR112" s="15"/>
      <c r="GS112" s="15"/>
      <c r="GT112" s="15"/>
      <c r="GU112" s="15"/>
      <c r="GV112" s="15"/>
      <c r="GW112" s="15"/>
      <c r="GX112" s="15"/>
      <c r="GY112" s="15"/>
      <c r="GZ112" s="15"/>
      <c r="HA112" s="15"/>
      <c r="HB112" s="15"/>
      <c r="HC112" s="15"/>
      <c r="HD112" s="15"/>
      <c r="HE112" s="15"/>
      <c r="HF112" s="15"/>
      <c r="HG112" s="15"/>
      <c r="HH112" s="15"/>
      <c r="HI112" s="15"/>
      <c r="HJ112" s="15"/>
      <c r="HK112" s="15"/>
      <c r="HL112" s="15"/>
      <c r="HM112" s="15"/>
      <c r="HN112" s="15"/>
      <c r="HO112" s="15"/>
      <c r="HP112" s="15"/>
      <c r="HQ112" s="15"/>
      <c r="HR112" s="15"/>
      <c r="HS112" s="15"/>
      <c r="HT112" s="15"/>
      <c r="HU112" s="15"/>
      <c r="HV112" s="15"/>
      <c r="HW112" s="15"/>
      <c r="HX112" s="15"/>
      <c r="HY112" s="15"/>
      <c r="HZ112" s="15"/>
      <c r="IA112" s="15"/>
      <c r="IB112" s="15"/>
      <c r="IC112" s="15"/>
      <c r="ID112" s="15"/>
      <c r="IE112" s="15"/>
      <c r="IF112" s="15"/>
      <c r="IG112" s="15"/>
      <c r="IH112" s="15"/>
      <c r="II112" s="15"/>
      <c r="IJ112" s="15"/>
      <c r="IK112" s="15"/>
      <c r="IL112" s="15"/>
      <c r="IM112" s="15"/>
      <c r="IN112" s="15"/>
      <c r="IO112" s="15"/>
      <c r="IP112" s="15"/>
      <c r="IQ112" s="15"/>
      <c r="IR112" s="15"/>
      <c r="IS112" s="15"/>
      <c r="IT112" s="15"/>
      <c r="IU112" s="16"/>
    </row>
    <row r="113" spans="1:255" ht="16" customHeight="1">
      <c r="A113" s="133"/>
      <c r="B113" s="14"/>
      <c r="C113" s="270" t="s">
        <v>91</v>
      </c>
      <c r="D113" s="299">
        <v>0.1</v>
      </c>
      <c r="E113" s="272"/>
      <c r="F113" s="221"/>
      <c r="G113" s="222"/>
      <c r="H113" s="223">
        <f>INT($D113*D116)</f>
        <v>10</v>
      </c>
      <c r="I113" s="224">
        <f>INT($D113*H116)</f>
        <v>9</v>
      </c>
      <c r="J113" s="224">
        <f>INT($D113*I116)</f>
        <v>8</v>
      </c>
      <c r="K113" s="224">
        <f>INT($D113*J116)</f>
        <v>7</v>
      </c>
      <c r="L113" s="224">
        <f>INT($D113*K116)</f>
        <v>6</v>
      </c>
      <c r="M113" s="300"/>
      <c r="N113" s="301"/>
      <c r="O113" s="48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15"/>
      <c r="EX113" s="15"/>
      <c r="EY113" s="15"/>
      <c r="EZ113" s="15"/>
      <c r="FA113" s="15"/>
      <c r="FB113" s="15"/>
      <c r="FC113" s="15"/>
      <c r="FD113" s="15"/>
      <c r="FE113" s="15"/>
      <c r="FF113" s="15"/>
      <c r="FG113" s="15"/>
      <c r="FH113" s="15"/>
      <c r="FI113" s="15"/>
      <c r="FJ113" s="15"/>
      <c r="FK113" s="15"/>
      <c r="FL113" s="15"/>
      <c r="FM113" s="15"/>
      <c r="FN113" s="15"/>
      <c r="FO113" s="15"/>
      <c r="FP113" s="15"/>
      <c r="FQ113" s="15"/>
      <c r="FR113" s="15"/>
      <c r="FS113" s="15"/>
      <c r="FT113" s="15"/>
      <c r="FU113" s="15"/>
      <c r="FV113" s="15"/>
      <c r="FW113" s="15"/>
      <c r="FX113" s="15"/>
      <c r="FY113" s="15"/>
      <c r="FZ113" s="15"/>
      <c r="GA113" s="15"/>
      <c r="GB113" s="15"/>
      <c r="GC113" s="15"/>
      <c r="GD113" s="15"/>
      <c r="GE113" s="15"/>
      <c r="GF113" s="15"/>
      <c r="GG113" s="15"/>
      <c r="GH113" s="15"/>
      <c r="GI113" s="15"/>
      <c r="GJ113" s="15"/>
      <c r="GK113" s="15"/>
      <c r="GL113" s="15"/>
      <c r="GM113" s="15"/>
      <c r="GN113" s="15"/>
      <c r="GO113" s="15"/>
      <c r="GP113" s="15"/>
      <c r="GQ113" s="15"/>
      <c r="GR113" s="15"/>
      <c r="GS113" s="15"/>
      <c r="GT113" s="15"/>
      <c r="GU113" s="15"/>
      <c r="GV113" s="15"/>
      <c r="GW113" s="15"/>
      <c r="GX113" s="15"/>
      <c r="GY113" s="15"/>
      <c r="GZ113" s="15"/>
      <c r="HA113" s="15"/>
      <c r="HB113" s="15"/>
      <c r="HC113" s="15"/>
      <c r="HD113" s="15"/>
      <c r="HE113" s="15"/>
      <c r="HF113" s="15"/>
      <c r="HG113" s="15"/>
      <c r="HH113" s="15"/>
      <c r="HI113" s="15"/>
      <c r="HJ113" s="15"/>
      <c r="HK113" s="15"/>
      <c r="HL113" s="15"/>
      <c r="HM113" s="15"/>
      <c r="HN113" s="15"/>
      <c r="HO113" s="15"/>
      <c r="HP113" s="15"/>
      <c r="HQ113" s="15"/>
      <c r="HR113" s="15"/>
      <c r="HS113" s="15"/>
      <c r="HT113" s="15"/>
      <c r="HU113" s="15"/>
      <c r="HV113" s="15"/>
      <c r="HW113" s="15"/>
      <c r="HX113" s="15"/>
      <c r="HY113" s="15"/>
      <c r="HZ113" s="15"/>
      <c r="IA113" s="15"/>
      <c r="IB113" s="15"/>
      <c r="IC113" s="15"/>
      <c r="ID113" s="15"/>
      <c r="IE113" s="15"/>
      <c r="IF113" s="15"/>
      <c r="IG113" s="15"/>
      <c r="IH113" s="15"/>
      <c r="II113" s="15"/>
      <c r="IJ113" s="15"/>
      <c r="IK113" s="15"/>
      <c r="IL113" s="15"/>
      <c r="IM113" s="15"/>
      <c r="IN113" s="15"/>
      <c r="IO113" s="15"/>
      <c r="IP113" s="15"/>
      <c r="IQ113" s="15"/>
      <c r="IR113" s="15"/>
      <c r="IS113" s="15"/>
      <c r="IT113" s="15"/>
      <c r="IU113" s="16"/>
    </row>
    <row r="114" spans="1:255" ht="16" customHeight="1">
      <c r="A114" s="133"/>
      <c r="B114" s="14"/>
      <c r="C114" s="220"/>
      <c r="D114" s="221"/>
      <c r="E114" s="221"/>
      <c r="F114" s="221"/>
      <c r="G114" s="222"/>
      <c r="H114" s="248"/>
      <c r="I114" s="249"/>
      <c r="J114" s="249"/>
      <c r="K114" s="249"/>
      <c r="L114" s="249"/>
      <c r="M114" s="14"/>
      <c r="N114" s="16"/>
      <c r="O114" s="48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15"/>
      <c r="EX114" s="15"/>
      <c r="EY114" s="15"/>
      <c r="EZ114" s="15"/>
      <c r="FA114" s="15"/>
      <c r="FB114" s="15"/>
      <c r="FC114" s="15"/>
      <c r="FD114" s="15"/>
      <c r="FE114" s="15"/>
      <c r="FF114" s="15"/>
      <c r="FG114" s="15"/>
      <c r="FH114" s="15"/>
      <c r="FI114" s="15"/>
      <c r="FJ114" s="15"/>
      <c r="FK114" s="15"/>
      <c r="FL114" s="15"/>
      <c r="FM114" s="15"/>
      <c r="FN114" s="15"/>
      <c r="FO114" s="15"/>
      <c r="FP114" s="15"/>
      <c r="FQ114" s="15"/>
      <c r="FR114" s="15"/>
      <c r="FS114" s="15"/>
      <c r="FT114" s="15"/>
      <c r="FU114" s="15"/>
      <c r="FV114" s="15"/>
      <c r="FW114" s="15"/>
      <c r="FX114" s="15"/>
      <c r="FY114" s="15"/>
      <c r="FZ114" s="15"/>
      <c r="GA114" s="15"/>
      <c r="GB114" s="15"/>
      <c r="GC114" s="15"/>
      <c r="GD114" s="15"/>
      <c r="GE114" s="15"/>
      <c r="GF114" s="15"/>
      <c r="GG114" s="15"/>
      <c r="GH114" s="15"/>
      <c r="GI114" s="15"/>
      <c r="GJ114" s="15"/>
      <c r="GK114" s="15"/>
      <c r="GL114" s="15"/>
      <c r="GM114" s="15"/>
      <c r="GN114" s="15"/>
      <c r="GO114" s="15"/>
      <c r="GP114" s="15"/>
      <c r="GQ114" s="15"/>
      <c r="GR114" s="15"/>
      <c r="GS114" s="15"/>
      <c r="GT114" s="15"/>
      <c r="GU114" s="15"/>
      <c r="GV114" s="15"/>
      <c r="GW114" s="15"/>
      <c r="GX114" s="15"/>
      <c r="GY114" s="15"/>
      <c r="GZ114" s="15"/>
      <c r="HA114" s="15"/>
      <c r="HB114" s="15"/>
      <c r="HC114" s="15"/>
      <c r="HD114" s="15"/>
      <c r="HE114" s="15"/>
      <c r="HF114" s="15"/>
      <c r="HG114" s="15"/>
      <c r="HH114" s="15"/>
      <c r="HI114" s="15"/>
      <c r="HJ114" s="15"/>
      <c r="HK114" s="15"/>
      <c r="HL114" s="15"/>
      <c r="HM114" s="15"/>
      <c r="HN114" s="15"/>
      <c r="HO114" s="15"/>
      <c r="HP114" s="15"/>
      <c r="HQ114" s="15"/>
      <c r="HR114" s="15"/>
      <c r="HS114" s="15"/>
      <c r="HT114" s="15"/>
      <c r="HU114" s="15"/>
      <c r="HV114" s="15"/>
      <c r="HW114" s="15"/>
      <c r="HX114" s="15"/>
      <c r="HY114" s="15"/>
      <c r="HZ114" s="15"/>
      <c r="IA114" s="15"/>
      <c r="IB114" s="15"/>
      <c r="IC114" s="15"/>
      <c r="ID114" s="15"/>
      <c r="IE114" s="15"/>
      <c r="IF114" s="15"/>
      <c r="IG114" s="15"/>
      <c r="IH114" s="15"/>
      <c r="II114" s="15"/>
      <c r="IJ114" s="15"/>
      <c r="IK114" s="15"/>
      <c r="IL114" s="15"/>
      <c r="IM114" s="15"/>
      <c r="IN114" s="15"/>
      <c r="IO114" s="15"/>
      <c r="IP114" s="15"/>
      <c r="IQ114" s="15"/>
      <c r="IR114" s="15"/>
      <c r="IS114" s="15"/>
      <c r="IT114" s="15"/>
      <c r="IU114" s="16"/>
    </row>
    <row r="115" spans="1:255" ht="16" customHeight="1">
      <c r="A115" s="133"/>
      <c r="B115" s="14"/>
      <c r="C115" s="35"/>
      <c r="D115" s="294" t="s">
        <v>220</v>
      </c>
      <c r="E115" s="15"/>
      <c r="F115" s="15"/>
      <c r="G115" s="295"/>
      <c r="H115" s="223"/>
      <c r="I115" s="224"/>
      <c r="J115" s="224"/>
      <c r="K115" s="224"/>
      <c r="L115" s="224"/>
      <c r="M115" s="14"/>
      <c r="N115" s="16"/>
      <c r="O115" s="48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15"/>
      <c r="EX115" s="15"/>
      <c r="EY115" s="15"/>
      <c r="EZ115" s="15"/>
      <c r="FA115" s="15"/>
      <c r="FB115" s="15"/>
      <c r="FC115" s="15"/>
      <c r="FD115" s="15"/>
      <c r="FE115" s="15"/>
      <c r="FF115" s="15"/>
      <c r="FG115" s="15"/>
      <c r="FH115" s="15"/>
      <c r="FI115" s="15"/>
      <c r="FJ115" s="15"/>
      <c r="FK115" s="15"/>
      <c r="FL115" s="15"/>
      <c r="FM115" s="15"/>
      <c r="FN115" s="15"/>
      <c r="FO115" s="15"/>
      <c r="FP115" s="15"/>
      <c r="FQ115" s="15"/>
      <c r="FR115" s="15"/>
      <c r="FS115" s="15"/>
      <c r="FT115" s="15"/>
      <c r="FU115" s="15"/>
      <c r="FV115" s="15"/>
      <c r="FW115" s="15"/>
      <c r="FX115" s="15"/>
      <c r="FY115" s="15"/>
      <c r="FZ115" s="15"/>
      <c r="GA115" s="15"/>
      <c r="GB115" s="15"/>
      <c r="GC115" s="15"/>
      <c r="GD115" s="15"/>
      <c r="GE115" s="15"/>
      <c r="GF115" s="15"/>
      <c r="GG115" s="15"/>
      <c r="GH115" s="15"/>
      <c r="GI115" s="15"/>
      <c r="GJ115" s="15"/>
      <c r="GK115" s="15"/>
      <c r="GL115" s="15"/>
      <c r="GM115" s="15"/>
      <c r="GN115" s="15"/>
      <c r="GO115" s="15"/>
      <c r="GP115" s="15"/>
      <c r="GQ115" s="15"/>
      <c r="GR115" s="15"/>
      <c r="GS115" s="15"/>
      <c r="GT115" s="15"/>
      <c r="GU115" s="15"/>
      <c r="GV115" s="15"/>
      <c r="GW115" s="15"/>
      <c r="GX115" s="15"/>
      <c r="GY115" s="15"/>
      <c r="GZ115" s="15"/>
      <c r="HA115" s="15"/>
      <c r="HB115" s="15"/>
      <c r="HC115" s="15"/>
      <c r="HD115" s="15"/>
      <c r="HE115" s="15"/>
      <c r="HF115" s="15"/>
      <c r="HG115" s="15"/>
      <c r="HH115" s="15"/>
      <c r="HI115" s="15"/>
      <c r="HJ115" s="15"/>
      <c r="HK115" s="15"/>
      <c r="HL115" s="15"/>
      <c r="HM115" s="15"/>
      <c r="HN115" s="15"/>
      <c r="HO115" s="15"/>
      <c r="HP115" s="15"/>
      <c r="HQ115" s="15"/>
      <c r="HR115" s="15"/>
      <c r="HS115" s="15"/>
      <c r="HT115" s="15"/>
      <c r="HU115" s="15"/>
      <c r="HV115" s="15"/>
      <c r="HW115" s="15"/>
      <c r="HX115" s="15"/>
      <c r="HY115" s="15"/>
      <c r="HZ115" s="15"/>
      <c r="IA115" s="15"/>
      <c r="IB115" s="15"/>
      <c r="IC115" s="15"/>
      <c r="ID115" s="15"/>
      <c r="IE115" s="15"/>
      <c r="IF115" s="15"/>
      <c r="IG115" s="15"/>
      <c r="IH115" s="15"/>
      <c r="II115" s="15"/>
      <c r="IJ115" s="15"/>
      <c r="IK115" s="15"/>
      <c r="IL115" s="15"/>
      <c r="IM115" s="15"/>
      <c r="IN115" s="15"/>
      <c r="IO115" s="15"/>
      <c r="IP115" s="15"/>
      <c r="IQ115" s="15"/>
      <c r="IR115" s="15"/>
      <c r="IS115" s="15"/>
      <c r="IT115" s="15"/>
      <c r="IU115" s="16"/>
    </row>
    <row r="116" spans="1:255" ht="16" customHeight="1">
      <c r="A116" s="133"/>
      <c r="B116" s="14"/>
      <c r="C116" s="253" t="s">
        <v>92</v>
      </c>
      <c r="D116" s="254">
        <v>100</v>
      </c>
      <c r="E116" s="230"/>
      <c r="F116" s="15"/>
      <c r="G116" s="295"/>
      <c r="H116" s="223">
        <f>D116+H110-H113</f>
        <v>90</v>
      </c>
      <c r="I116" s="224">
        <f>H116+I110-I113</f>
        <v>81</v>
      </c>
      <c r="J116" s="224">
        <f>I116+J110-J113</f>
        <v>73</v>
      </c>
      <c r="K116" s="224">
        <f>J116+K110-K113</f>
        <v>66</v>
      </c>
      <c r="L116" s="224">
        <f>K116+L110-L113</f>
        <v>60</v>
      </c>
      <c r="M116" s="14"/>
      <c r="N116" s="16"/>
      <c r="O116" s="48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  <c r="EV116" s="15"/>
      <c r="EW116" s="15"/>
      <c r="EX116" s="15"/>
      <c r="EY116" s="15"/>
      <c r="EZ116" s="15"/>
      <c r="FA116" s="15"/>
      <c r="FB116" s="15"/>
      <c r="FC116" s="15"/>
      <c r="FD116" s="15"/>
      <c r="FE116" s="15"/>
      <c r="FF116" s="15"/>
      <c r="FG116" s="15"/>
      <c r="FH116" s="15"/>
      <c r="FI116" s="15"/>
      <c r="FJ116" s="15"/>
      <c r="FK116" s="15"/>
      <c r="FL116" s="15"/>
      <c r="FM116" s="15"/>
      <c r="FN116" s="15"/>
      <c r="FO116" s="15"/>
      <c r="FP116" s="15"/>
      <c r="FQ116" s="15"/>
      <c r="FR116" s="15"/>
      <c r="FS116" s="15"/>
      <c r="FT116" s="15"/>
      <c r="FU116" s="15"/>
      <c r="FV116" s="15"/>
      <c r="FW116" s="15"/>
      <c r="FX116" s="15"/>
      <c r="FY116" s="15"/>
      <c r="FZ116" s="15"/>
      <c r="GA116" s="15"/>
      <c r="GB116" s="15"/>
      <c r="GC116" s="15"/>
      <c r="GD116" s="15"/>
      <c r="GE116" s="15"/>
      <c r="GF116" s="15"/>
      <c r="GG116" s="15"/>
      <c r="GH116" s="15"/>
      <c r="GI116" s="15"/>
      <c r="GJ116" s="15"/>
      <c r="GK116" s="15"/>
      <c r="GL116" s="15"/>
      <c r="GM116" s="15"/>
      <c r="GN116" s="15"/>
      <c r="GO116" s="15"/>
      <c r="GP116" s="15"/>
      <c r="GQ116" s="15"/>
      <c r="GR116" s="15"/>
      <c r="GS116" s="15"/>
      <c r="GT116" s="15"/>
      <c r="GU116" s="15"/>
      <c r="GV116" s="15"/>
      <c r="GW116" s="15"/>
      <c r="GX116" s="15"/>
      <c r="GY116" s="15"/>
      <c r="GZ116" s="15"/>
      <c r="HA116" s="15"/>
      <c r="HB116" s="15"/>
      <c r="HC116" s="15"/>
      <c r="HD116" s="15"/>
      <c r="HE116" s="15"/>
      <c r="HF116" s="15"/>
      <c r="HG116" s="15"/>
      <c r="HH116" s="15"/>
      <c r="HI116" s="15"/>
      <c r="HJ116" s="15"/>
      <c r="HK116" s="15"/>
      <c r="HL116" s="15"/>
      <c r="HM116" s="15"/>
      <c r="HN116" s="15"/>
      <c r="HO116" s="15"/>
      <c r="HP116" s="15"/>
      <c r="HQ116" s="15"/>
      <c r="HR116" s="15"/>
      <c r="HS116" s="15"/>
      <c r="HT116" s="15"/>
      <c r="HU116" s="15"/>
      <c r="HV116" s="15"/>
      <c r="HW116" s="15"/>
      <c r="HX116" s="15"/>
      <c r="HY116" s="15"/>
      <c r="HZ116" s="15"/>
      <c r="IA116" s="15"/>
      <c r="IB116" s="15"/>
      <c r="IC116" s="15"/>
      <c r="ID116" s="15"/>
      <c r="IE116" s="15"/>
      <c r="IF116" s="15"/>
      <c r="IG116" s="15"/>
      <c r="IH116" s="15"/>
      <c r="II116" s="15"/>
      <c r="IJ116" s="15"/>
      <c r="IK116" s="15"/>
      <c r="IL116" s="15"/>
      <c r="IM116" s="15"/>
      <c r="IN116" s="15"/>
      <c r="IO116" s="15"/>
      <c r="IP116" s="15"/>
      <c r="IQ116" s="15"/>
      <c r="IR116" s="15"/>
      <c r="IS116" s="15"/>
      <c r="IT116" s="15"/>
      <c r="IU116" s="16"/>
    </row>
    <row r="117" spans="1:255" ht="16" customHeight="1">
      <c r="A117" s="133"/>
      <c r="B117" s="14"/>
      <c r="C117" s="220"/>
      <c r="D117" s="221"/>
      <c r="E117" s="221"/>
      <c r="F117" s="221"/>
      <c r="G117" s="222"/>
      <c r="H117" s="248"/>
      <c r="I117" s="249"/>
      <c r="J117" s="249"/>
      <c r="K117" s="249"/>
      <c r="L117" s="249"/>
      <c r="M117" s="14"/>
      <c r="N117" s="16"/>
      <c r="O117" s="48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  <c r="EW117" s="15"/>
      <c r="EX117" s="15"/>
      <c r="EY117" s="15"/>
      <c r="EZ117" s="15"/>
      <c r="FA117" s="15"/>
      <c r="FB117" s="15"/>
      <c r="FC117" s="15"/>
      <c r="FD117" s="15"/>
      <c r="FE117" s="15"/>
      <c r="FF117" s="15"/>
      <c r="FG117" s="15"/>
      <c r="FH117" s="15"/>
      <c r="FI117" s="15"/>
      <c r="FJ117" s="15"/>
      <c r="FK117" s="15"/>
      <c r="FL117" s="15"/>
      <c r="FM117" s="15"/>
      <c r="FN117" s="15"/>
      <c r="FO117" s="15"/>
      <c r="FP117" s="15"/>
      <c r="FQ117" s="15"/>
      <c r="FR117" s="15"/>
      <c r="FS117" s="15"/>
      <c r="FT117" s="15"/>
      <c r="FU117" s="15"/>
      <c r="FV117" s="15"/>
      <c r="FW117" s="15"/>
      <c r="FX117" s="15"/>
      <c r="FY117" s="15"/>
      <c r="FZ117" s="15"/>
      <c r="GA117" s="15"/>
      <c r="GB117" s="15"/>
      <c r="GC117" s="15"/>
      <c r="GD117" s="15"/>
      <c r="GE117" s="15"/>
      <c r="GF117" s="15"/>
      <c r="GG117" s="15"/>
      <c r="GH117" s="15"/>
      <c r="GI117" s="15"/>
      <c r="GJ117" s="15"/>
      <c r="GK117" s="15"/>
      <c r="GL117" s="15"/>
      <c r="GM117" s="15"/>
      <c r="GN117" s="15"/>
      <c r="GO117" s="15"/>
      <c r="GP117" s="15"/>
      <c r="GQ117" s="15"/>
      <c r="GR117" s="15"/>
      <c r="GS117" s="15"/>
      <c r="GT117" s="15"/>
      <c r="GU117" s="15"/>
      <c r="GV117" s="15"/>
      <c r="GW117" s="15"/>
      <c r="GX117" s="15"/>
      <c r="GY117" s="15"/>
      <c r="GZ117" s="15"/>
      <c r="HA117" s="15"/>
      <c r="HB117" s="15"/>
      <c r="HC117" s="15"/>
      <c r="HD117" s="15"/>
      <c r="HE117" s="15"/>
      <c r="HF117" s="15"/>
      <c r="HG117" s="15"/>
      <c r="HH117" s="15"/>
      <c r="HI117" s="15"/>
      <c r="HJ117" s="15"/>
      <c r="HK117" s="15"/>
      <c r="HL117" s="15"/>
      <c r="HM117" s="15"/>
      <c r="HN117" s="15"/>
      <c r="HO117" s="15"/>
      <c r="HP117" s="15"/>
      <c r="HQ117" s="15"/>
      <c r="HR117" s="15"/>
      <c r="HS117" s="15"/>
      <c r="HT117" s="15"/>
      <c r="HU117" s="15"/>
      <c r="HV117" s="15"/>
      <c r="HW117" s="15"/>
      <c r="HX117" s="15"/>
      <c r="HY117" s="15"/>
      <c r="HZ117" s="15"/>
      <c r="IA117" s="15"/>
      <c r="IB117" s="15"/>
      <c r="IC117" s="15"/>
      <c r="ID117" s="15"/>
      <c r="IE117" s="15"/>
      <c r="IF117" s="15"/>
      <c r="IG117" s="15"/>
      <c r="IH117" s="15"/>
      <c r="II117" s="15"/>
      <c r="IJ117" s="15"/>
      <c r="IK117" s="15"/>
      <c r="IL117" s="15"/>
      <c r="IM117" s="15"/>
      <c r="IN117" s="15"/>
      <c r="IO117" s="15"/>
      <c r="IP117" s="15"/>
      <c r="IQ117" s="15"/>
      <c r="IR117" s="15"/>
      <c r="IS117" s="15"/>
      <c r="IT117" s="15"/>
      <c r="IU117" s="16"/>
    </row>
    <row r="118" spans="1:255" ht="16" customHeight="1">
      <c r="A118" s="133"/>
      <c r="B118" s="219" t="s">
        <v>28</v>
      </c>
      <c r="C118" s="220"/>
      <c r="D118" s="228"/>
      <c r="E118" s="294" t="s">
        <v>259</v>
      </c>
      <c r="F118" s="221"/>
      <c r="G118" s="222"/>
      <c r="H118" s="248"/>
      <c r="I118" s="249"/>
      <c r="J118" s="249"/>
      <c r="K118" s="249"/>
      <c r="L118" s="249"/>
      <c r="M118" s="14"/>
      <c r="N118" s="16"/>
      <c r="O118" s="48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  <c r="FD118" s="15"/>
      <c r="FE118" s="15"/>
      <c r="FF118" s="15"/>
      <c r="FG118" s="15"/>
      <c r="FH118" s="15"/>
      <c r="FI118" s="15"/>
      <c r="FJ118" s="15"/>
      <c r="FK118" s="15"/>
      <c r="FL118" s="15"/>
      <c r="FM118" s="15"/>
      <c r="FN118" s="15"/>
      <c r="FO118" s="15"/>
      <c r="FP118" s="15"/>
      <c r="FQ118" s="15"/>
      <c r="FR118" s="15"/>
      <c r="FS118" s="15"/>
      <c r="FT118" s="15"/>
      <c r="FU118" s="15"/>
      <c r="FV118" s="15"/>
      <c r="FW118" s="15"/>
      <c r="FX118" s="15"/>
      <c r="FY118" s="15"/>
      <c r="FZ118" s="15"/>
      <c r="GA118" s="15"/>
      <c r="GB118" s="15"/>
      <c r="GC118" s="15"/>
      <c r="GD118" s="15"/>
      <c r="GE118" s="15"/>
      <c r="GF118" s="15"/>
      <c r="GG118" s="15"/>
      <c r="GH118" s="15"/>
      <c r="GI118" s="15"/>
      <c r="GJ118" s="15"/>
      <c r="GK118" s="15"/>
      <c r="GL118" s="15"/>
      <c r="GM118" s="15"/>
      <c r="GN118" s="15"/>
      <c r="GO118" s="15"/>
      <c r="GP118" s="15"/>
      <c r="GQ118" s="15"/>
      <c r="GR118" s="15"/>
      <c r="GS118" s="15"/>
      <c r="GT118" s="15"/>
      <c r="GU118" s="15"/>
      <c r="GV118" s="15"/>
      <c r="GW118" s="15"/>
      <c r="GX118" s="15"/>
      <c r="GY118" s="15"/>
      <c r="GZ118" s="15"/>
      <c r="HA118" s="15"/>
      <c r="HB118" s="15"/>
      <c r="HC118" s="15"/>
      <c r="HD118" s="15"/>
      <c r="HE118" s="15"/>
      <c r="HF118" s="15"/>
      <c r="HG118" s="15"/>
      <c r="HH118" s="15"/>
      <c r="HI118" s="15"/>
      <c r="HJ118" s="15"/>
      <c r="HK118" s="15"/>
      <c r="HL118" s="15"/>
      <c r="HM118" s="15"/>
      <c r="HN118" s="15"/>
      <c r="HO118" s="15"/>
      <c r="HP118" s="15"/>
      <c r="HQ118" s="15"/>
      <c r="HR118" s="15"/>
      <c r="HS118" s="15"/>
      <c r="HT118" s="15"/>
      <c r="HU118" s="15"/>
      <c r="HV118" s="15"/>
      <c r="HW118" s="15"/>
      <c r="HX118" s="15"/>
      <c r="HY118" s="15"/>
      <c r="HZ118" s="15"/>
      <c r="IA118" s="15"/>
      <c r="IB118" s="15"/>
      <c r="IC118" s="15"/>
      <c r="ID118" s="15"/>
      <c r="IE118" s="15"/>
      <c r="IF118" s="15"/>
      <c r="IG118" s="15"/>
      <c r="IH118" s="15"/>
      <c r="II118" s="15"/>
      <c r="IJ118" s="15"/>
      <c r="IK118" s="15"/>
      <c r="IL118" s="15"/>
      <c r="IM118" s="15"/>
      <c r="IN118" s="15"/>
      <c r="IO118" s="15"/>
      <c r="IP118" s="15"/>
      <c r="IQ118" s="15"/>
      <c r="IR118" s="15"/>
      <c r="IS118" s="15"/>
      <c r="IT118" s="15"/>
      <c r="IU118" s="16"/>
    </row>
    <row r="119" spans="1:255" ht="16" customHeight="1">
      <c r="A119" s="133"/>
      <c r="B119" s="14"/>
      <c r="C119" s="270" t="s">
        <v>93</v>
      </c>
      <c r="D119" s="283">
        <v>0</v>
      </c>
      <c r="E119" s="259">
        <v>0.05</v>
      </c>
      <c r="F119" s="221"/>
      <c r="G119" s="222"/>
      <c r="H119" s="234">
        <f>H116*$D119</f>
        <v>0</v>
      </c>
      <c r="I119" s="235">
        <f>I116*$D119*(1+$E119)^(I2)</f>
        <v>0</v>
      </c>
      <c r="J119" s="235">
        <f t="shared" ref="J119:L119" si="13">J116*$D119*(1+$E119)^(J2)</f>
        <v>0</v>
      </c>
      <c r="K119" s="235">
        <f t="shared" si="13"/>
        <v>0</v>
      </c>
      <c r="L119" s="235">
        <f t="shared" si="13"/>
        <v>0</v>
      </c>
      <c r="M119" s="14"/>
      <c r="N119" s="16"/>
      <c r="O119" s="48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  <c r="FF119" s="15"/>
      <c r="FG119" s="15"/>
      <c r="FH119" s="15"/>
      <c r="FI119" s="15"/>
      <c r="FJ119" s="15"/>
      <c r="FK119" s="15"/>
      <c r="FL119" s="15"/>
      <c r="FM119" s="15"/>
      <c r="FN119" s="15"/>
      <c r="FO119" s="15"/>
      <c r="FP119" s="15"/>
      <c r="FQ119" s="15"/>
      <c r="FR119" s="15"/>
      <c r="FS119" s="15"/>
      <c r="FT119" s="15"/>
      <c r="FU119" s="15"/>
      <c r="FV119" s="15"/>
      <c r="FW119" s="15"/>
      <c r="FX119" s="15"/>
      <c r="FY119" s="15"/>
      <c r="FZ119" s="15"/>
      <c r="GA119" s="15"/>
      <c r="GB119" s="15"/>
      <c r="GC119" s="15"/>
      <c r="GD119" s="15"/>
      <c r="GE119" s="15"/>
      <c r="GF119" s="15"/>
      <c r="GG119" s="15"/>
      <c r="GH119" s="15"/>
      <c r="GI119" s="15"/>
      <c r="GJ119" s="15"/>
      <c r="GK119" s="15"/>
      <c r="GL119" s="15"/>
      <c r="GM119" s="15"/>
      <c r="GN119" s="15"/>
      <c r="GO119" s="15"/>
      <c r="GP119" s="15"/>
      <c r="GQ119" s="15"/>
      <c r="GR119" s="15"/>
      <c r="GS119" s="15"/>
      <c r="GT119" s="15"/>
      <c r="GU119" s="15"/>
      <c r="GV119" s="15"/>
      <c r="GW119" s="15"/>
      <c r="GX119" s="15"/>
      <c r="GY119" s="15"/>
      <c r="GZ119" s="15"/>
      <c r="HA119" s="15"/>
      <c r="HB119" s="15"/>
      <c r="HC119" s="15"/>
      <c r="HD119" s="15"/>
      <c r="HE119" s="15"/>
      <c r="HF119" s="15"/>
      <c r="HG119" s="15"/>
      <c r="HH119" s="15"/>
      <c r="HI119" s="15"/>
      <c r="HJ119" s="15"/>
      <c r="HK119" s="15"/>
      <c r="HL119" s="15"/>
      <c r="HM119" s="15"/>
      <c r="HN119" s="15"/>
      <c r="HO119" s="15"/>
      <c r="HP119" s="15"/>
      <c r="HQ119" s="15"/>
      <c r="HR119" s="15"/>
      <c r="HS119" s="15"/>
      <c r="HT119" s="15"/>
      <c r="HU119" s="15"/>
      <c r="HV119" s="15"/>
      <c r="HW119" s="15"/>
      <c r="HX119" s="15"/>
      <c r="HY119" s="15"/>
      <c r="HZ119" s="15"/>
      <c r="IA119" s="15"/>
      <c r="IB119" s="15"/>
      <c r="IC119" s="15"/>
      <c r="ID119" s="15"/>
      <c r="IE119" s="15"/>
      <c r="IF119" s="15"/>
      <c r="IG119" s="15"/>
      <c r="IH119" s="15"/>
      <c r="II119" s="15"/>
      <c r="IJ119" s="15"/>
      <c r="IK119" s="15"/>
      <c r="IL119" s="15"/>
      <c r="IM119" s="15"/>
      <c r="IN119" s="15"/>
      <c r="IO119" s="15"/>
      <c r="IP119" s="15"/>
      <c r="IQ119" s="15"/>
      <c r="IR119" s="15"/>
      <c r="IS119" s="15"/>
      <c r="IT119" s="15"/>
      <c r="IU119" s="16"/>
    </row>
    <row r="120" spans="1:255" ht="17" customHeight="1">
      <c r="A120" s="133"/>
      <c r="B120" s="171"/>
      <c r="C120" s="285"/>
      <c r="D120" s="228"/>
      <c r="E120" s="228"/>
      <c r="F120" s="228"/>
      <c r="G120" s="288"/>
      <c r="H120" s="302"/>
      <c r="I120" s="191"/>
      <c r="J120" s="191"/>
      <c r="K120" s="191"/>
      <c r="L120" s="191"/>
      <c r="M120" s="14"/>
      <c r="N120" s="16"/>
      <c r="O120" s="48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15"/>
      <c r="EX120" s="15"/>
      <c r="EY120" s="15"/>
      <c r="EZ120" s="15"/>
      <c r="FA120" s="15"/>
      <c r="FB120" s="15"/>
      <c r="FC120" s="15"/>
      <c r="FD120" s="15"/>
      <c r="FE120" s="15"/>
      <c r="FF120" s="15"/>
      <c r="FG120" s="15"/>
      <c r="FH120" s="15"/>
      <c r="FI120" s="15"/>
      <c r="FJ120" s="15"/>
      <c r="FK120" s="15"/>
      <c r="FL120" s="15"/>
      <c r="FM120" s="15"/>
      <c r="FN120" s="15"/>
      <c r="FO120" s="15"/>
      <c r="FP120" s="15"/>
      <c r="FQ120" s="15"/>
      <c r="FR120" s="15"/>
      <c r="FS120" s="15"/>
      <c r="FT120" s="15"/>
      <c r="FU120" s="15"/>
      <c r="FV120" s="15"/>
      <c r="FW120" s="15"/>
      <c r="FX120" s="15"/>
      <c r="FY120" s="15"/>
      <c r="FZ120" s="15"/>
      <c r="GA120" s="15"/>
      <c r="GB120" s="15"/>
      <c r="GC120" s="15"/>
      <c r="GD120" s="15"/>
      <c r="GE120" s="15"/>
      <c r="GF120" s="15"/>
      <c r="GG120" s="15"/>
      <c r="GH120" s="15"/>
      <c r="GI120" s="15"/>
      <c r="GJ120" s="15"/>
      <c r="GK120" s="15"/>
      <c r="GL120" s="15"/>
      <c r="GM120" s="15"/>
      <c r="GN120" s="15"/>
      <c r="GO120" s="15"/>
      <c r="GP120" s="15"/>
      <c r="GQ120" s="15"/>
      <c r="GR120" s="15"/>
      <c r="GS120" s="15"/>
      <c r="GT120" s="15"/>
      <c r="GU120" s="15"/>
      <c r="GV120" s="15"/>
      <c r="GW120" s="15"/>
      <c r="GX120" s="15"/>
      <c r="GY120" s="15"/>
      <c r="GZ120" s="15"/>
      <c r="HA120" s="15"/>
      <c r="HB120" s="15"/>
      <c r="HC120" s="15"/>
      <c r="HD120" s="15"/>
      <c r="HE120" s="15"/>
      <c r="HF120" s="15"/>
      <c r="HG120" s="15"/>
      <c r="HH120" s="15"/>
      <c r="HI120" s="15"/>
      <c r="HJ120" s="15"/>
      <c r="HK120" s="15"/>
      <c r="HL120" s="15"/>
      <c r="HM120" s="15"/>
      <c r="HN120" s="15"/>
      <c r="HO120" s="15"/>
      <c r="HP120" s="15"/>
      <c r="HQ120" s="15"/>
      <c r="HR120" s="15"/>
      <c r="HS120" s="15"/>
      <c r="HT120" s="15"/>
      <c r="HU120" s="15"/>
      <c r="HV120" s="15"/>
      <c r="HW120" s="15"/>
      <c r="HX120" s="15"/>
      <c r="HY120" s="15"/>
      <c r="HZ120" s="15"/>
      <c r="IA120" s="15"/>
      <c r="IB120" s="15"/>
      <c r="IC120" s="15"/>
      <c r="ID120" s="15"/>
      <c r="IE120" s="15"/>
      <c r="IF120" s="15"/>
      <c r="IG120" s="15"/>
      <c r="IH120" s="15"/>
      <c r="II120" s="15"/>
      <c r="IJ120" s="15"/>
      <c r="IK120" s="15"/>
      <c r="IL120" s="15"/>
      <c r="IM120" s="15"/>
      <c r="IN120" s="15"/>
      <c r="IO120" s="15"/>
      <c r="IP120" s="15"/>
      <c r="IQ120" s="15"/>
      <c r="IR120" s="15"/>
      <c r="IS120" s="15"/>
      <c r="IT120" s="15"/>
      <c r="IU120" s="16"/>
    </row>
    <row r="121" spans="1:255" ht="17" customHeight="1">
      <c r="A121" s="133"/>
      <c r="B121" s="175" t="str">
        <f>"Total "&amp;B100&amp;" Revenue"</f>
        <v>Total Outbound Sales Revenue</v>
      </c>
      <c r="C121" s="289"/>
      <c r="D121" s="289"/>
      <c r="E121" s="289"/>
      <c r="F121" s="289"/>
      <c r="G121" s="290"/>
      <c r="H121" s="291">
        <f>H119</f>
        <v>0</v>
      </c>
      <c r="I121" s="180">
        <f>I119</f>
        <v>0</v>
      </c>
      <c r="J121" s="180">
        <f>J119</f>
        <v>0</v>
      </c>
      <c r="K121" s="180">
        <f>K119</f>
        <v>0</v>
      </c>
      <c r="L121" s="180">
        <f>L119</f>
        <v>0</v>
      </c>
      <c r="M121" s="14"/>
      <c r="N121" s="16"/>
      <c r="O121" s="48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  <c r="EH121" s="15"/>
      <c r="EI121" s="15"/>
      <c r="EJ121" s="15"/>
      <c r="EK121" s="15"/>
      <c r="EL121" s="15"/>
      <c r="EM121" s="15"/>
      <c r="EN121" s="15"/>
      <c r="EO121" s="15"/>
      <c r="EP121" s="15"/>
      <c r="EQ121" s="15"/>
      <c r="ER121" s="15"/>
      <c r="ES121" s="15"/>
      <c r="ET121" s="15"/>
      <c r="EU121" s="15"/>
      <c r="EV121" s="15"/>
      <c r="EW121" s="15"/>
      <c r="EX121" s="15"/>
      <c r="EY121" s="15"/>
      <c r="EZ121" s="15"/>
      <c r="FA121" s="15"/>
      <c r="FB121" s="15"/>
      <c r="FC121" s="15"/>
      <c r="FD121" s="15"/>
      <c r="FE121" s="15"/>
      <c r="FF121" s="15"/>
      <c r="FG121" s="15"/>
      <c r="FH121" s="15"/>
      <c r="FI121" s="15"/>
      <c r="FJ121" s="15"/>
      <c r="FK121" s="15"/>
      <c r="FL121" s="15"/>
      <c r="FM121" s="15"/>
      <c r="FN121" s="15"/>
      <c r="FO121" s="15"/>
      <c r="FP121" s="15"/>
      <c r="FQ121" s="15"/>
      <c r="FR121" s="15"/>
      <c r="FS121" s="15"/>
      <c r="FT121" s="15"/>
      <c r="FU121" s="15"/>
      <c r="FV121" s="15"/>
      <c r="FW121" s="15"/>
      <c r="FX121" s="15"/>
      <c r="FY121" s="15"/>
      <c r="FZ121" s="15"/>
      <c r="GA121" s="15"/>
      <c r="GB121" s="15"/>
      <c r="GC121" s="15"/>
      <c r="GD121" s="15"/>
      <c r="GE121" s="15"/>
      <c r="GF121" s="15"/>
      <c r="GG121" s="15"/>
      <c r="GH121" s="15"/>
      <c r="GI121" s="15"/>
      <c r="GJ121" s="15"/>
      <c r="GK121" s="15"/>
      <c r="GL121" s="15"/>
      <c r="GM121" s="15"/>
      <c r="GN121" s="15"/>
      <c r="GO121" s="15"/>
      <c r="GP121" s="15"/>
      <c r="GQ121" s="15"/>
      <c r="GR121" s="15"/>
      <c r="GS121" s="15"/>
      <c r="GT121" s="15"/>
      <c r="GU121" s="15"/>
      <c r="GV121" s="15"/>
      <c r="GW121" s="15"/>
      <c r="GX121" s="15"/>
      <c r="GY121" s="15"/>
      <c r="GZ121" s="15"/>
      <c r="HA121" s="15"/>
      <c r="HB121" s="15"/>
      <c r="HC121" s="15"/>
      <c r="HD121" s="15"/>
      <c r="HE121" s="15"/>
      <c r="HF121" s="15"/>
      <c r="HG121" s="15"/>
      <c r="HH121" s="15"/>
      <c r="HI121" s="15"/>
      <c r="HJ121" s="15"/>
      <c r="HK121" s="15"/>
      <c r="HL121" s="15"/>
      <c r="HM121" s="15"/>
      <c r="HN121" s="15"/>
      <c r="HO121" s="15"/>
      <c r="HP121" s="15"/>
      <c r="HQ121" s="15"/>
      <c r="HR121" s="15"/>
      <c r="HS121" s="15"/>
      <c r="HT121" s="15"/>
      <c r="HU121" s="15"/>
      <c r="HV121" s="15"/>
      <c r="HW121" s="15"/>
      <c r="HX121" s="15"/>
      <c r="HY121" s="15"/>
      <c r="HZ121" s="15"/>
      <c r="IA121" s="15"/>
      <c r="IB121" s="15"/>
      <c r="IC121" s="15"/>
      <c r="ID121" s="15"/>
      <c r="IE121" s="15"/>
      <c r="IF121" s="15"/>
      <c r="IG121" s="15"/>
      <c r="IH121" s="15"/>
      <c r="II121" s="15"/>
      <c r="IJ121" s="15"/>
      <c r="IK121" s="15"/>
      <c r="IL121" s="15"/>
      <c r="IM121" s="15"/>
      <c r="IN121" s="15"/>
      <c r="IO121" s="15"/>
      <c r="IP121" s="15"/>
      <c r="IQ121" s="15"/>
      <c r="IR121" s="15"/>
      <c r="IS121" s="15"/>
      <c r="IT121" s="15"/>
      <c r="IU121" s="16"/>
    </row>
    <row r="122" spans="1:255" ht="17" customHeight="1">
      <c r="A122" s="48"/>
      <c r="B122" s="303"/>
      <c r="C122" s="303"/>
      <c r="D122" s="303"/>
      <c r="E122" s="303"/>
      <c r="F122" s="303"/>
      <c r="G122" s="304"/>
      <c r="H122" s="305"/>
      <c r="I122" s="306"/>
      <c r="J122" s="306"/>
      <c r="K122" s="306"/>
      <c r="L122" s="306"/>
      <c r="M122" s="15"/>
      <c r="N122" s="16"/>
      <c r="O122" s="48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  <c r="FC122" s="15"/>
      <c r="FD122" s="15"/>
      <c r="FE122" s="15"/>
      <c r="FF122" s="15"/>
      <c r="FG122" s="15"/>
      <c r="FH122" s="15"/>
      <c r="FI122" s="15"/>
      <c r="FJ122" s="15"/>
      <c r="FK122" s="15"/>
      <c r="FL122" s="15"/>
      <c r="FM122" s="15"/>
      <c r="FN122" s="15"/>
      <c r="FO122" s="15"/>
      <c r="FP122" s="15"/>
      <c r="FQ122" s="15"/>
      <c r="FR122" s="15"/>
      <c r="FS122" s="15"/>
      <c r="FT122" s="15"/>
      <c r="FU122" s="15"/>
      <c r="FV122" s="15"/>
      <c r="FW122" s="15"/>
      <c r="FX122" s="15"/>
      <c r="FY122" s="15"/>
      <c r="FZ122" s="15"/>
      <c r="GA122" s="15"/>
      <c r="GB122" s="15"/>
      <c r="GC122" s="15"/>
      <c r="GD122" s="15"/>
      <c r="GE122" s="15"/>
      <c r="GF122" s="15"/>
      <c r="GG122" s="15"/>
      <c r="GH122" s="15"/>
      <c r="GI122" s="15"/>
      <c r="GJ122" s="15"/>
      <c r="GK122" s="15"/>
      <c r="GL122" s="15"/>
      <c r="GM122" s="15"/>
      <c r="GN122" s="15"/>
      <c r="GO122" s="15"/>
      <c r="GP122" s="15"/>
      <c r="GQ122" s="15"/>
      <c r="GR122" s="15"/>
      <c r="GS122" s="15"/>
      <c r="GT122" s="15"/>
      <c r="GU122" s="15"/>
      <c r="GV122" s="15"/>
      <c r="GW122" s="15"/>
      <c r="GX122" s="15"/>
      <c r="GY122" s="15"/>
      <c r="GZ122" s="15"/>
      <c r="HA122" s="15"/>
      <c r="HB122" s="15"/>
      <c r="HC122" s="15"/>
      <c r="HD122" s="15"/>
      <c r="HE122" s="15"/>
      <c r="HF122" s="15"/>
      <c r="HG122" s="15"/>
      <c r="HH122" s="15"/>
      <c r="HI122" s="15"/>
      <c r="HJ122" s="15"/>
      <c r="HK122" s="15"/>
      <c r="HL122" s="15"/>
      <c r="HM122" s="15"/>
      <c r="HN122" s="15"/>
      <c r="HO122" s="15"/>
      <c r="HP122" s="15"/>
      <c r="HQ122" s="15"/>
      <c r="HR122" s="15"/>
      <c r="HS122" s="15"/>
      <c r="HT122" s="15"/>
      <c r="HU122" s="15"/>
      <c r="HV122" s="15"/>
      <c r="HW122" s="15"/>
      <c r="HX122" s="15"/>
      <c r="HY122" s="15"/>
      <c r="HZ122" s="15"/>
      <c r="IA122" s="15"/>
      <c r="IB122" s="15"/>
      <c r="IC122" s="15"/>
      <c r="ID122" s="15"/>
      <c r="IE122" s="15"/>
      <c r="IF122" s="15"/>
      <c r="IG122" s="15"/>
      <c r="IH122" s="15"/>
      <c r="II122" s="15"/>
      <c r="IJ122" s="15"/>
      <c r="IK122" s="15"/>
      <c r="IL122" s="15"/>
      <c r="IM122" s="15"/>
      <c r="IN122" s="15"/>
      <c r="IO122" s="15"/>
      <c r="IP122" s="15"/>
      <c r="IQ122" s="15"/>
      <c r="IR122" s="15"/>
      <c r="IS122" s="15"/>
      <c r="IT122" s="15"/>
      <c r="IU122" s="16"/>
    </row>
    <row r="123" spans="1:255" ht="17" customHeight="1">
      <c r="A123" s="133"/>
      <c r="B123" s="175" t="s">
        <v>29</v>
      </c>
      <c r="C123" s="289"/>
      <c r="D123" s="289"/>
      <c r="E123" s="289"/>
      <c r="F123" s="289"/>
      <c r="G123" s="290"/>
      <c r="H123" s="291">
        <f>H67+H51+H98+H121</f>
        <v>1042983.4171428571</v>
      </c>
      <c r="I123" s="291">
        <f>I67+I51+I98+I121</f>
        <v>2153420.2971428572</v>
      </c>
      <c r="J123" s="291">
        <f>J67+J51+J98+J121</f>
        <v>3825891.8971428573</v>
      </c>
      <c r="K123" s="291">
        <f>K67+K51+K98+K121</f>
        <v>6453747.0171428565</v>
      </c>
      <c r="L123" s="291">
        <f>L67+L51+L98+L121</f>
        <v>10740014.697142856</v>
      </c>
      <c r="M123" s="14"/>
      <c r="N123" s="16"/>
      <c r="O123" s="48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  <c r="FC123" s="15"/>
      <c r="FD123" s="15"/>
      <c r="FE123" s="15"/>
      <c r="FF123" s="15"/>
      <c r="FG123" s="15"/>
      <c r="FH123" s="15"/>
      <c r="FI123" s="15"/>
      <c r="FJ123" s="15"/>
      <c r="FK123" s="15"/>
      <c r="FL123" s="15"/>
      <c r="FM123" s="15"/>
      <c r="FN123" s="15"/>
      <c r="FO123" s="15"/>
      <c r="FP123" s="15"/>
      <c r="FQ123" s="15"/>
      <c r="FR123" s="15"/>
      <c r="FS123" s="15"/>
      <c r="FT123" s="15"/>
      <c r="FU123" s="15"/>
      <c r="FV123" s="15"/>
      <c r="FW123" s="15"/>
      <c r="FX123" s="15"/>
      <c r="FY123" s="15"/>
      <c r="FZ123" s="15"/>
      <c r="GA123" s="15"/>
      <c r="GB123" s="15"/>
      <c r="GC123" s="15"/>
      <c r="GD123" s="15"/>
      <c r="GE123" s="15"/>
      <c r="GF123" s="15"/>
      <c r="GG123" s="15"/>
      <c r="GH123" s="15"/>
      <c r="GI123" s="15"/>
      <c r="GJ123" s="15"/>
      <c r="GK123" s="15"/>
      <c r="GL123" s="15"/>
      <c r="GM123" s="15"/>
      <c r="GN123" s="15"/>
      <c r="GO123" s="15"/>
      <c r="GP123" s="15"/>
      <c r="GQ123" s="15"/>
      <c r="GR123" s="15"/>
      <c r="GS123" s="15"/>
      <c r="GT123" s="15"/>
      <c r="GU123" s="15"/>
      <c r="GV123" s="15"/>
      <c r="GW123" s="15"/>
      <c r="GX123" s="15"/>
      <c r="GY123" s="15"/>
      <c r="GZ123" s="15"/>
      <c r="HA123" s="15"/>
      <c r="HB123" s="15"/>
      <c r="HC123" s="15"/>
      <c r="HD123" s="15"/>
      <c r="HE123" s="15"/>
      <c r="HF123" s="15"/>
      <c r="HG123" s="15"/>
      <c r="HH123" s="15"/>
      <c r="HI123" s="15"/>
      <c r="HJ123" s="15"/>
      <c r="HK123" s="15"/>
      <c r="HL123" s="15"/>
      <c r="HM123" s="15"/>
      <c r="HN123" s="15"/>
      <c r="HO123" s="15"/>
      <c r="HP123" s="15"/>
      <c r="HQ123" s="15"/>
      <c r="HR123" s="15"/>
      <c r="HS123" s="15"/>
      <c r="HT123" s="15"/>
      <c r="HU123" s="15"/>
      <c r="HV123" s="15"/>
      <c r="HW123" s="15"/>
      <c r="HX123" s="15"/>
      <c r="HY123" s="15"/>
      <c r="HZ123" s="15"/>
      <c r="IA123" s="15"/>
      <c r="IB123" s="15"/>
      <c r="IC123" s="15"/>
      <c r="ID123" s="15"/>
      <c r="IE123" s="15"/>
      <c r="IF123" s="15"/>
      <c r="IG123" s="15"/>
      <c r="IH123" s="15"/>
      <c r="II123" s="15"/>
      <c r="IJ123" s="15"/>
      <c r="IK123" s="15"/>
      <c r="IL123" s="15"/>
      <c r="IM123" s="15"/>
      <c r="IN123" s="15"/>
      <c r="IO123" s="15"/>
      <c r="IP123" s="15"/>
      <c r="IQ123" s="15"/>
      <c r="IR123" s="15"/>
      <c r="IS123" s="15"/>
      <c r="IT123" s="15"/>
      <c r="IU123" s="16"/>
    </row>
    <row r="124" spans="1:255" ht="16" customHeight="1">
      <c r="A124" s="48"/>
      <c r="B124" s="182"/>
      <c r="C124" s="182"/>
      <c r="D124" s="182"/>
      <c r="E124" s="182"/>
      <c r="F124" s="182"/>
      <c r="G124" s="182"/>
      <c r="H124" s="182"/>
      <c r="I124" s="182"/>
      <c r="J124" s="182"/>
      <c r="K124" s="182"/>
      <c r="L124" s="182"/>
      <c r="M124" s="15"/>
      <c r="N124" s="16"/>
      <c r="O124" s="48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/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15"/>
      <c r="FS124" s="15"/>
      <c r="FT124" s="15"/>
      <c r="FU124" s="15"/>
      <c r="FV124" s="15"/>
      <c r="FW124" s="15"/>
      <c r="FX124" s="15"/>
      <c r="FY124" s="15"/>
      <c r="FZ124" s="15"/>
      <c r="GA124" s="15"/>
      <c r="GB124" s="15"/>
      <c r="GC124" s="15"/>
      <c r="GD124" s="15"/>
      <c r="GE124" s="15"/>
      <c r="GF124" s="15"/>
      <c r="GG124" s="15"/>
      <c r="GH124" s="15"/>
      <c r="GI124" s="15"/>
      <c r="GJ124" s="15"/>
      <c r="GK124" s="15"/>
      <c r="GL124" s="15"/>
      <c r="GM124" s="15"/>
      <c r="GN124" s="15"/>
      <c r="GO124" s="15"/>
      <c r="GP124" s="15"/>
      <c r="GQ124" s="15"/>
      <c r="GR124" s="15"/>
      <c r="GS124" s="15"/>
      <c r="GT124" s="15"/>
      <c r="GU124" s="15"/>
      <c r="GV124" s="15"/>
      <c r="GW124" s="15"/>
      <c r="GX124" s="15"/>
      <c r="GY124" s="15"/>
      <c r="GZ124" s="15"/>
      <c r="HA124" s="15"/>
      <c r="HB124" s="15"/>
      <c r="HC124" s="15"/>
      <c r="HD124" s="15"/>
      <c r="HE124" s="15"/>
      <c r="HF124" s="15"/>
      <c r="HG124" s="15"/>
      <c r="HH124" s="15"/>
      <c r="HI124" s="15"/>
      <c r="HJ124" s="15"/>
      <c r="HK124" s="15"/>
      <c r="HL124" s="15"/>
      <c r="HM124" s="15"/>
      <c r="HN124" s="15"/>
      <c r="HO124" s="15"/>
      <c r="HP124" s="15"/>
      <c r="HQ124" s="15"/>
      <c r="HR124" s="15"/>
      <c r="HS124" s="15"/>
      <c r="HT124" s="15"/>
      <c r="HU124" s="15"/>
      <c r="HV124" s="15"/>
      <c r="HW124" s="15"/>
      <c r="HX124" s="15"/>
      <c r="HY124" s="15"/>
      <c r="HZ124" s="15"/>
      <c r="IA124" s="15"/>
      <c r="IB124" s="15"/>
      <c r="IC124" s="15"/>
      <c r="ID124" s="15"/>
      <c r="IE124" s="15"/>
      <c r="IF124" s="15"/>
      <c r="IG124" s="15"/>
      <c r="IH124" s="15"/>
      <c r="II124" s="15"/>
      <c r="IJ124" s="15"/>
      <c r="IK124" s="15"/>
      <c r="IL124" s="15"/>
      <c r="IM124" s="15"/>
      <c r="IN124" s="15"/>
      <c r="IO124" s="15"/>
      <c r="IP124" s="15"/>
      <c r="IQ124" s="15"/>
      <c r="IR124" s="15"/>
      <c r="IS124" s="15"/>
      <c r="IT124" s="15"/>
      <c r="IU124" s="16"/>
    </row>
    <row r="125" spans="1:255" ht="16" customHeight="1">
      <c r="A125" s="48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6"/>
      <c r="O125" s="48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5"/>
      <c r="EK125" s="15"/>
      <c r="EL125" s="15"/>
      <c r="EM125" s="15"/>
      <c r="EN125" s="15"/>
      <c r="EO125" s="15"/>
      <c r="EP125" s="15"/>
      <c r="EQ125" s="15"/>
      <c r="ER125" s="15"/>
      <c r="ES125" s="15"/>
      <c r="ET125" s="15"/>
      <c r="EU125" s="15"/>
      <c r="EV125" s="15"/>
      <c r="EW125" s="15"/>
      <c r="EX125" s="15"/>
      <c r="EY125" s="15"/>
      <c r="EZ125" s="15"/>
      <c r="FA125" s="15"/>
      <c r="FB125" s="15"/>
      <c r="FC125" s="15"/>
      <c r="FD125" s="15"/>
      <c r="FE125" s="15"/>
      <c r="FF125" s="15"/>
      <c r="FG125" s="15"/>
      <c r="FH125" s="15"/>
      <c r="FI125" s="15"/>
      <c r="FJ125" s="15"/>
      <c r="FK125" s="15"/>
      <c r="FL125" s="15"/>
      <c r="FM125" s="15"/>
      <c r="FN125" s="15"/>
      <c r="FO125" s="15"/>
      <c r="FP125" s="15"/>
      <c r="FQ125" s="15"/>
      <c r="FR125" s="15"/>
      <c r="FS125" s="15"/>
      <c r="FT125" s="15"/>
      <c r="FU125" s="15"/>
      <c r="FV125" s="15"/>
      <c r="FW125" s="15"/>
      <c r="FX125" s="15"/>
      <c r="FY125" s="15"/>
      <c r="FZ125" s="15"/>
      <c r="GA125" s="15"/>
      <c r="GB125" s="15"/>
      <c r="GC125" s="15"/>
      <c r="GD125" s="15"/>
      <c r="GE125" s="15"/>
      <c r="GF125" s="15"/>
      <c r="GG125" s="15"/>
      <c r="GH125" s="15"/>
      <c r="GI125" s="15"/>
      <c r="GJ125" s="15"/>
      <c r="GK125" s="15"/>
      <c r="GL125" s="15"/>
      <c r="GM125" s="15"/>
      <c r="GN125" s="15"/>
      <c r="GO125" s="15"/>
      <c r="GP125" s="15"/>
      <c r="GQ125" s="15"/>
      <c r="GR125" s="15"/>
      <c r="GS125" s="15"/>
      <c r="GT125" s="15"/>
      <c r="GU125" s="15"/>
      <c r="GV125" s="15"/>
      <c r="GW125" s="15"/>
      <c r="GX125" s="15"/>
      <c r="GY125" s="15"/>
      <c r="GZ125" s="15"/>
      <c r="HA125" s="15"/>
      <c r="HB125" s="15"/>
      <c r="HC125" s="15"/>
      <c r="HD125" s="15"/>
      <c r="HE125" s="15"/>
      <c r="HF125" s="15"/>
      <c r="HG125" s="15"/>
      <c r="HH125" s="15"/>
      <c r="HI125" s="15"/>
      <c r="HJ125" s="15"/>
      <c r="HK125" s="15"/>
      <c r="HL125" s="15"/>
      <c r="HM125" s="15"/>
      <c r="HN125" s="15"/>
      <c r="HO125" s="15"/>
      <c r="HP125" s="15"/>
      <c r="HQ125" s="15"/>
      <c r="HR125" s="15"/>
      <c r="HS125" s="15"/>
      <c r="HT125" s="15"/>
      <c r="HU125" s="15"/>
      <c r="HV125" s="15"/>
      <c r="HW125" s="15"/>
      <c r="HX125" s="15"/>
      <c r="HY125" s="15"/>
      <c r="HZ125" s="15"/>
      <c r="IA125" s="15"/>
      <c r="IB125" s="15"/>
      <c r="IC125" s="15"/>
      <c r="ID125" s="15"/>
      <c r="IE125" s="15"/>
      <c r="IF125" s="15"/>
      <c r="IG125" s="15"/>
      <c r="IH125" s="15"/>
      <c r="II125" s="15"/>
      <c r="IJ125" s="15"/>
      <c r="IK125" s="15"/>
      <c r="IL125" s="15"/>
      <c r="IM125" s="15"/>
      <c r="IN125" s="15"/>
      <c r="IO125" s="15"/>
      <c r="IP125" s="15"/>
      <c r="IQ125" s="15"/>
      <c r="IR125" s="15"/>
      <c r="IS125" s="15"/>
      <c r="IT125" s="15"/>
      <c r="IU125" s="16"/>
    </row>
    <row r="126" spans="1:255" ht="16" customHeight="1">
      <c r="A126" s="48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6"/>
      <c r="O126" s="48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  <c r="DW126" s="15"/>
      <c r="DX126" s="15"/>
      <c r="DY126" s="15"/>
      <c r="DZ126" s="15"/>
      <c r="EA126" s="15"/>
      <c r="EB126" s="15"/>
      <c r="EC126" s="15"/>
      <c r="ED126" s="15"/>
      <c r="EE126" s="15"/>
      <c r="EF126" s="15"/>
      <c r="EG126" s="15"/>
      <c r="EH126" s="15"/>
      <c r="EI126" s="15"/>
      <c r="EJ126" s="15"/>
      <c r="EK126" s="15"/>
      <c r="EL126" s="15"/>
      <c r="EM126" s="15"/>
      <c r="EN126" s="15"/>
      <c r="EO126" s="15"/>
      <c r="EP126" s="15"/>
      <c r="EQ126" s="15"/>
      <c r="ER126" s="15"/>
      <c r="ES126" s="15"/>
      <c r="ET126" s="15"/>
      <c r="EU126" s="15"/>
      <c r="EV126" s="15"/>
      <c r="EW126" s="15"/>
      <c r="EX126" s="15"/>
      <c r="EY126" s="15"/>
      <c r="EZ126" s="15"/>
      <c r="FA126" s="15"/>
      <c r="FB126" s="15"/>
      <c r="FC126" s="15"/>
      <c r="FD126" s="15"/>
      <c r="FE126" s="15"/>
      <c r="FF126" s="15"/>
      <c r="FG126" s="15"/>
      <c r="FH126" s="15"/>
      <c r="FI126" s="15"/>
      <c r="FJ126" s="15"/>
      <c r="FK126" s="15"/>
      <c r="FL126" s="15"/>
      <c r="FM126" s="15"/>
      <c r="FN126" s="15"/>
      <c r="FO126" s="15"/>
      <c r="FP126" s="15"/>
      <c r="FQ126" s="15"/>
      <c r="FR126" s="15"/>
      <c r="FS126" s="15"/>
      <c r="FT126" s="15"/>
      <c r="FU126" s="15"/>
      <c r="FV126" s="15"/>
      <c r="FW126" s="15"/>
      <c r="FX126" s="15"/>
      <c r="FY126" s="15"/>
      <c r="FZ126" s="15"/>
      <c r="GA126" s="15"/>
      <c r="GB126" s="15"/>
      <c r="GC126" s="15"/>
      <c r="GD126" s="15"/>
      <c r="GE126" s="15"/>
      <c r="GF126" s="15"/>
      <c r="GG126" s="15"/>
      <c r="GH126" s="15"/>
      <c r="GI126" s="15"/>
      <c r="GJ126" s="15"/>
      <c r="GK126" s="15"/>
      <c r="GL126" s="15"/>
      <c r="GM126" s="15"/>
      <c r="GN126" s="15"/>
      <c r="GO126" s="15"/>
      <c r="GP126" s="15"/>
      <c r="GQ126" s="15"/>
      <c r="GR126" s="15"/>
      <c r="GS126" s="15"/>
      <c r="GT126" s="15"/>
      <c r="GU126" s="15"/>
      <c r="GV126" s="15"/>
      <c r="GW126" s="15"/>
      <c r="GX126" s="15"/>
      <c r="GY126" s="15"/>
      <c r="GZ126" s="15"/>
      <c r="HA126" s="15"/>
      <c r="HB126" s="15"/>
      <c r="HC126" s="15"/>
      <c r="HD126" s="15"/>
      <c r="HE126" s="15"/>
      <c r="HF126" s="15"/>
      <c r="HG126" s="15"/>
      <c r="HH126" s="15"/>
      <c r="HI126" s="15"/>
      <c r="HJ126" s="15"/>
      <c r="HK126" s="15"/>
      <c r="HL126" s="15"/>
      <c r="HM126" s="15"/>
      <c r="HN126" s="15"/>
      <c r="HO126" s="15"/>
      <c r="HP126" s="15"/>
      <c r="HQ126" s="15"/>
      <c r="HR126" s="15"/>
      <c r="HS126" s="15"/>
      <c r="HT126" s="15"/>
      <c r="HU126" s="15"/>
      <c r="HV126" s="15"/>
      <c r="HW126" s="15"/>
      <c r="HX126" s="15"/>
      <c r="HY126" s="15"/>
      <c r="HZ126" s="15"/>
      <c r="IA126" s="15"/>
      <c r="IB126" s="15"/>
      <c r="IC126" s="15"/>
      <c r="ID126" s="15"/>
      <c r="IE126" s="15"/>
      <c r="IF126" s="15"/>
      <c r="IG126" s="15"/>
      <c r="IH126" s="15"/>
      <c r="II126" s="15"/>
      <c r="IJ126" s="15"/>
      <c r="IK126" s="15"/>
      <c r="IL126" s="15"/>
      <c r="IM126" s="15"/>
      <c r="IN126" s="15"/>
      <c r="IO126" s="15"/>
      <c r="IP126" s="15"/>
      <c r="IQ126" s="15"/>
      <c r="IR126" s="15"/>
      <c r="IS126" s="15"/>
      <c r="IT126" s="15"/>
      <c r="IU126" s="16"/>
    </row>
    <row r="127" spans="1:255" ht="16" customHeight="1">
      <c r="A127" s="48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6"/>
      <c r="O127" s="48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/>
      <c r="EW127" s="15"/>
      <c r="EX127" s="15"/>
      <c r="EY127" s="15"/>
      <c r="EZ127" s="15"/>
      <c r="FA127" s="15"/>
      <c r="FB127" s="15"/>
      <c r="FC127" s="15"/>
      <c r="FD127" s="15"/>
      <c r="FE127" s="15"/>
      <c r="FF127" s="15"/>
      <c r="FG127" s="15"/>
      <c r="FH127" s="15"/>
      <c r="FI127" s="15"/>
      <c r="FJ127" s="15"/>
      <c r="FK127" s="15"/>
      <c r="FL127" s="15"/>
      <c r="FM127" s="15"/>
      <c r="FN127" s="15"/>
      <c r="FO127" s="15"/>
      <c r="FP127" s="15"/>
      <c r="FQ127" s="15"/>
      <c r="FR127" s="15"/>
      <c r="FS127" s="15"/>
      <c r="FT127" s="15"/>
      <c r="FU127" s="15"/>
      <c r="FV127" s="15"/>
      <c r="FW127" s="15"/>
      <c r="FX127" s="15"/>
      <c r="FY127" s="15"/>
      <c r="FZ127" s="15"/>
      <c r="GA127" s="15"/>
      <c r="GB127" s="15"/>
      <c r="GC127" s="15"/>
      <c r="GD127" s="15"/>
      <c r="GE127" s="15"/>
      <c r="GF127" s="15"/>
      <c r="GG127" s="15"/>
      <c r="GH127" s="15"/>
      <c r="GI127" s="15"/>
      <c r="GJ127" s="15"/>
      <c r="GK127" s="15"/>
      <c r="GL127" s="15"/>
      <c r="GM127" s="15"/>
      <c r="GN127" s="15"/>
      <c r="GO127" s="15"/>
      <c r="GP127" s="15"/>
      <c r="GQ127" s="15"/>
      <c r="GR127" s="15"/>
      <c r="GS127" s="15"/>
      <c r="GT127" s="15"/>
      <c r="GU127" s="15"/>
      <c r="GV127" s="15"/>
      <c r="GW127" s="15"/>
      <c r="GX127" s="15"/>
      <c r="GY127" s="15"/>
      <c r="GZ127" s="15"/>
      <c r="HA127" s="15"/>
      <c r="HB127" s="15"/>
      <c r="HC127" s="15"/>
      <c r="HD127" s="15"/>
      <c r="HE127" s="15"/>
      <c r="HF127" s="15"/>
      <c r="HG127" s="15"/>
      <c r="HH127" s="15"/>
      <c r="HI127" s="15"/>
      <c r="HJ127" s="15"/>
      <c r="HK127" s="15"/>
      <c r="HL127" s="15"/>
      <c r="HM127" s="15"/>
      <c r="HN127" s="15"/>
      <c r="HO127" s="15"/>
      <c r="HP127" s="15"/>
      <c r="HQ127" s="15"/>
      <c r="HR127" s="15"/>
      <c r="HS127" s="15"/>
      <c r="HT127" s="15"/>
      <c r="HU127" s="15"/>
      <c r="HV127" s="15"/>
      <c r="HW127" s="15"/>
      <c r="HX127" s="15"/>
      <c r="HY127" s="15"/>
      <c r="HZ127" s="15"/>
      <c r="IA127" s="15"/>
      <c r="IB127" s="15"/>
      <c r="IC127" s="15"/>
      <c r="ID127" s="15"/>
      <c r="IE127" s="15"/>
      <c r="IF127" s="15"/>
      <c r="IG127" s="15"/>
      <c r="IH127" s="15"/>
      <c r="II127" s="15"/>
      <c r="IJ127" s="15"/>
      <c r="IK127" s="15"/>
      <c r="IL127" s="15"/>
      <c r="IM127" s="15"/>
      <c r="IN127" s="15"/>
      <c r="IO127" s="15"/>
      <c r="IP127" s="15"/>
      <c r="IQ127" s="15"/>
      <c r="IR127" s="15"/>
      <c r="IS127" s="15"/>
      <c r="IT127" s="15"/>
      <c r="IU127" s="16"/>
    </row>
    <row r="128" spans="1:255" ht="16" customHeight="1">
      <c r="A128" s="48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6"/>
      <c r="O128" s="48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5"/>
      <c r="EK128" s="15"/>
      <c r="EL128" s="15"/>
      <c r="EM128" s="15"/>
      <c r="EN128" s="15"/>
      <c r="EO128" s="15"/>
      <c r="EP128" s="15"/>
      <c r="EQ128" s="15"/>
      <c r="ER128" s="15"/>
      <c r="ES128" s="15"/>
      <c r="ET128" s="15"/>
      <c r="EU128" s="15"/>
      <c r="EV128" s="15"/>
      <c r="EW128" s="15"/>
      <c r="EX128" s="15"/>
      <c r="EY128" s="15"/>
      <c r="EZ128" s="15"/>
      <c r="FA128" s="15"/>
      <c r="FB128" s="15"/>
      <c r="FC128" s="15"/>
      <c r="FD128" s="15"/>
      <c r="FE128" s="15"/>
      <c r="FF128" s="15"/>
      <c r="FG128" s="15"/>
      <c r="FH128" s="15"/>
      <c r="FI128" s="15"/>
      <c r="FJ128" s="15"/>
      <c r="FK128" s="15"/>
      <c r="FL128" s="15"/>
      <c r="FM128" s="15"/>
      <c r="FN128" s="15"/>
      <c r="FO128" s="15"/>
      <c r="FP128" s="15"/>
      <c r="FQ128" s="15"/>
      <c r="FR128" s="15"/>
      <c r="FS128" s="15"/>
      <c r="FT128" s="15"/>
      <c r="FU128" s="15"/>
      <c r="FV128" s="15"/>
      <c r="FW128" s="15"/>
      <c r="FX128" s="15"/>
      <c r="FY128" s="15"/>
      <c r="FZ128" s="15"/>
      <c r="GA128" s="15"/>
      <c r="GB128" s="15"/>
      <c r="GC128" s="15"/>
      <c r="GD128" s="15"/>
      <c r="GE128" s="15"/>
      <c r="GF128" s="15"/>
      <c r="GG128" s="15"/>
      <c r="GH128" s="15"/>
      <c r="GI128" s="15"/>
      <c r="GJ128" s="15"/>
      <c r="GK128" s="15"/>
      <c r="GL128" s="15"/>
      <c r="GM128" s="15"/>
      <c r="GN128" s="15"/>
      <c r="GO128" s="15"/>
      <c r="GP128" s="15"/>
      <c r="GQ128" s="15"/>
      <c r="GR128" s="15"/>
      <c r="GS128" s="15"/>
      <c r="GT128" s="15"/>
      <c r="GU128" s="15"/>
      <c r="GV128" s="15"/>
      <c r="GW128" s="15"/>
      <c r="GX128" s="15"/>
      <c r="GY128" s="15"/>
      <c r="GZ128" s="15"/>
      <c r="HA128" s="15"/>
      <c r="HB128" s="15"/>
      <c r="HC128" s="15"/>
      <c r="HD128" s="15"/>
      <c r="HE128" s="15"/>
      <c r="HF128" s="15"/>
      <c r="HG128" s="15"/>
      <c r="HH128" s="15"/>
      <c r="HI128" s="15"/>
      <c r="HJ128" s="15"/>
      <c r="HK128" s="15"/>
      <c r="HL128" s="15"/>
      <c r="HM128" s="15"/>
      <c r="HN128" s="15"/>
      <c r="HO128" s="15"/>
      <c r="HP128" s="15"/>
      <c r="HQ128" s="15"/>
      <c r="HR128" s="15"/>
      <c r="HS128" s="15"/>
      <c r="HT128" s="15"/>
      <c r="HU128" s="15"/>
      <c r="HV128" s="15"/>
      <c r="HW128" s="15"/>
      <c r="HX128" s="15"/>
      <c r="HY128" s="15"/>
      <c r="HZ128" s="15"/>
      <c r="IA128" s="15"/>
      <c r="IB128" s="15"/>
      <c r="IC128" s="15"/>
      <c r="ID128" s="15"/>
      <c r="IE128" s="15"/>
      <c r="IF128" s="15"/>
      <c r="IG128" s="15"/>
      <c r="IH128" s="15"/>
      <c r="II128" s="15"/>
      <c r="IJ128" s="15"/>
      <c r="IK128" s="15"/>
      <c r="IL128" s="15"/>
      <c r="IM128" s="15"/>
      <c r="IN128" s="15"/>
      <c r="IO128" s="15"/>
      <c r="IP128" s="15"/>
      <c r="IQ128" s="15"/>
      <c r="IR128" s="15"/>
      <c r="IS128" s="15"/>
      <c r="IT128" s="15"/>
      <c r="IU128" s="16"/>
    </row>
    <row r="129" spans="1:255" ht="16" customHeight="1">
      <c r="A129" s="48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6"/>
      <c r="O129" s="48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EV129" s="15"/>
      <c r="EW129" s="15"/>
      <c r="EX129" s="15"/>
      <c r="EY129" s="15"/>
      <c r="EZ129" s="15"/>
      <c r="FA129" s="15"/>
      <c r="FB129" s="15"/>
      <c r="FC129" s="15"/>
      <c r="FD129" s="15"/>
      <c r="FE129" s="15"/>
      <c r="FF129" s="15"/>
      <c r="FG129" s="15"/>
      <c r="FH129" s="15"/>
      <c r="FI129" s="15"/>
      <c r="FJ129" s="15"/>
      <c r="FK129" s="15"/>
      <c r="FL129" s="15"/>
      <c r="FM129" s="15"/>
      <c r="FN129" s="15"/>
      <c r="FO129" s="15"/>
      <c r="FP129" s="15"/>
      <c r="FQ129" s="15"/>
      <c r="FR129" s="15"/>
      <c r="FS129" s="15"/>
      <c r="FT129" s="15"/>
      <c r="FU129" s="15"/>
      <c r="FV129" s="15"/>
      <c r="FW129" s="15"/>
      <c r="FX129" s="15"/>
      <c r="FY129" s="15"/>
      <c r="FZ129" s="15"/>
      <c r="GA129" s="15"/>
      <c r="GB129" s="15"/>
      <c r="GC129" s="15"/>
      <c r="GD129" s="15"/>
      <c r="GE129" s="15"/>
      <c r="GF129" s="15"/>
      <c r="GG129" s="15"/>
      <c r="GH129" s="15"/>
      <c r="GI129" s="15"/>
      <c r="GJ129" s="15"/>
      <c r="GK129" s="15"/>
      <c r="GL129" s="15"/>
      <c r="GM129" s="15"/>
      <c r="GN129" s="15"/>
      <c r="GO129" s="15"/>
      <c r="GP129" s="15"/>
      <c r="GQ129" s="15"/>
      <c r="GR129" s="15"/>
      <c r="GS129" s="15"/>
      <c r="GT129" s="15"/>
      <c r="GU129" s="15"/>
      <c r="GV129" s="15"/>
      <c r="GW129" s="15"/>
      <c r="GX129" s="15"/>
      <c r="GY129" s="15"/>
      <c r="GZ129" s="15"/>
      <c r="HA129" s="15"/>
      <c r="HB129" s="15"/>
      <c r="HC129" s="15"/>
      <c r="HD129" s="15"/>
      <c r="HE129" s="15"/>
      <c r="HF129" s="15"/>
      <c r="HG129" s="15"/>
      <c r="HH129" s="15"/>
      <c r="HI129" s="15"/>
      <c r="HJ129" s="15"/>
      <c r="HK129" s="15"/>
      <c r="HL129" s="15"/>
      <c r="HM129" s="15"/>
      <c r="HN129" s="15"/>
      <c r="HO129" s="15"/>
      <c r="HP129" s="15"/>
      <c r="HQ129" s="15"/>
      <c r="HR129" s="15"/>
      <c r="HS129" s="15"/>
      <c r="HT129" s="15"/>
      <c r="HU129" s="15"/>
      <c r="HV129" s="15"/>
      <c r="HW129" s="15"/>
      <c r="HX129" s="15"/>
      <c r="HY129" s="15"/>
      <c r="HZ129" s="15"/>
      <c r="IA129" s="15"/>
      <c r="IB129" s="15"/>
      <c r="IC129" s="15"/>
      <c r="ID129" s="15"/>
      <c r="IE129" s="15"/>
      <c r="IF129" s="15"/>
      <c r="IG129" s="15"/>
      <c r="IH129" s="15"/>
      <c r="II129" s="15"/>
      <c r="IJ129" s="15"/>
      <c r="IK129" s="15"/>
      <c r="IL129" s="15"/>
      <c r="IM129" s="15"/>
      <c r="IN129" s="15"/>
      <c r="IO129" s="15"/>
      <c r="IP129" s="15"/>
      <c r="IQ129" s="15"/>
      <c r="IR129" s="15"/>
      <c r="IS129" s="15"/>
      <c r="IT129" s="15"/>
      <c r="IU129" s="16"/>
    </row>
    <row r="130" spans="1:255" ht="16" customHeight="1">
      <c r="A130" s="48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6"/>
      <c r="O130" s="48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5"/>
      <c r="EK130" s="15"/>
      <c r="EL130" s="15"/>
      <c r="EM130" s="15"/>
      <c r="EN130" s="15"/>
      <c r="EO130" s="15"/>
      <c r="EP130" s="15"/>
      <c r="EQ130" s="15"/>
      <c r="ER130" s="15"/>
      <c r="ES130" s="15"/>
      <c r="ET130" s="15"/>
      <c r="EU130" s="15"/>
      <c r="EV130" s="15"/>
      <c r="EW130" s="15"/>
      <c r="EX130" s="15"/>
      <c r="EY130" s="15"/>
      <c r="EZ130" s="15"/>
      <c r="FA130" s="15"/>
      <c r="FB130" s="15"/>
      <c r="FC130" s="15"/>
      <c r="FD130" s="15"/>
      <c r="FE130" s="15"/>
      <c r="FF130" s="15"/>
      <c r="FG130" s="15"/>
      <c r="FH130" s="15"/>
      <c r="FI130" s="15"/>
      <c r="FJ130" s="15"/>
      <c r="FK130" s="15"/>
      <c r="FL130" s="15"/>
      <c r="FM130" s="15"/>
      <c r="FN130" s="15"/>
      <c r="FO130" s="15"/>
      <c r="FP130" s="15"/>
      <c r="FQ130" s="15"/>
      <c r="FR130" s="15"/>
      <c r="FS130" s="15"/>
      <c r="FT130" s="15"/>
      <c r="FU130" s="15"/>
      <c r="FV130" s="15"/>
      <c r="FW130" s="15"/>
      <c r="FX130" s="15"/>
      <c r="FY130" s="15"/>
      <c r="FZ130" s="15"/>
      <c r="GA130" s="15"/>
      <c r="GB130" s="15"/>
      <c r="GC130" s="15"/>
      <c r="GD130" s="15"/>
      <c r="GE130" s="15"/>
      <c r="GF130" s="15"/>
      <c r="GG130" s="15"/>
      <c r="GH130" s="15"/>
      <c r="GI130" s="15"/>
      <c r="GJ130" s="15"/>
      <c r="GK130" s="15"/>
      <c r="GL130" s="15"/>
      <c r="GM130" s="15"/>
      <c r="GN130" s="15"/>
      <c r="GO130" s="15"/>
      <c r="GP130" s="15"/>
      <c r="GQ130" s="15"/>
      <c r="GR130" s="15"/>
      <c r="GS130" s="15"/>
      <c r="GT130" s="15"/>
      <c r="GU130" s="15"/>
      <c r="GV130" s="15"/>
      <c r="GW130" s="15"/>
      <c r="GX130" s="15"/>
      <c r="GY130" s="15"/>
      <c r="GZ130" s="15"/>
      <c r="HA130" s="15"/>
      <c r="HB130" s="15"/>
      <c r="HC130" s="15"/>
      <c r="HD130" s="15"/>
      <c r="HE130" s="15"/>
      <c r="HF130" s="15"/>
      <c r="HG130" s="15"/>
      <c r="HH130" s="15"/>
      <c r="HI130" s="15"/>
      <c r="HJ130" s="15"/>
      <c r="HK130" s="15"/>
      <c r="HL130" s="15"/>
      <c r="HM130" s="15"/>
      <c r="HN130" s="15"/>
      <c r="HO130" s="15"/>
      <c r="HP130" s="15"/>
      <c r="HQ130" s="15"/>
      <c r="HR130" s="15"/>
      <c r="HS130" s="15"/>
      <c r="HT130" s="15"/>
      <c r="HU130" s="15"/>
      <c r="HV130" s="15"/>
      <c r="HW130" s="15"/>
      <c r="HX130" s="15"/>
      <c r="HY130" s="15"/>
      <c r="HZ130" s="15"/>
      <c r="IA130" s="15"/>
      <c r="IB130" s="15"/>
      <c r="IC130" s="15"/>
      <c r="ID130" s="15"/>
      <c r="IE130" s="15"/>
      <c r="IF130" s="15"/>
      <c r="IG130" s="15"/>
      <c r="IH130" s="15"/>
      <c r="II130" s="15"/>
      <c r="IJ130" s="15"/>
      <c r="IK130" s="15"/>
      <c r="IL130" s="15"/>
      <c r="IM130" s="15"/>
      <c r="IN130" s="15"/>
      <c r="IO130" s="15"/>
      <c r="IP130" s="15"/>
      <c r="IQ130" s="15"/>
      <c r="IR130" s="15"/>
      <c r="IS130" s="15"/>
      <c r="IT130" s="15"/>
      <c r="IU130" s="16"/>
    </row>
    <row r="131" spans="1:255" ht="16" customHeight="1">
      <c r="A131" s="48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6"/>
      <c r="O131" s="48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  <c r="EK131" s="15"/>
      <c r="EL131" s="15"/>
      <c r="EM131" s="15"/>
      <c r="EN131" s="15"/>
      <c r="EO131" s="15"/>
      <c r="EP131" s="15"/>
      <c r="EQ131" s="15"/>
      <c r="ER131" s="15"/>
      <c r="ES131" s="15"/>
      <c r="ET131" s="15"/>
      <c r="EU131" s="15"/>
      <c r="EV131" s="15"/>
      <c r="EW131" s="15"/>
      <c r="EX131" s="15"/>
      <c r="EY131" s="15"/>
      <c r="EZ131" s="15"/>
      <c r="FA131" s="15"/>
      <c r="FB131" s="15"/>
      <c r="FC131" s="15"/>
      <c r="FD131" s="15"/>
      <c r="FE131" s="15"/>
      <c r="FF131" s="15"/>
      <c r="FG131" s="15"/>
      <c r="FH131" s="15"/>
      <c r="FI131" s="15"/>
      <c r="FJ131" s="15"/>
      <c r="FK131" s="15"/>
      <c r="FL131" s="15"/>
      <c r="FM131" s="15"/>
      <c r="FN131" s="15"/>
      <c r="FO131" s="15"/>
      <c r="FP131" s="15"/>
      <c r="FQ131" s="15"/>
      <c r="FR131" s="15"/>
      <c r="FS131" s="15"/>
      <c r="FT131" s="15"/>
      <c r="FU131" s="15"/>
      <c r="FV131" s="15"/>
      <c r="FW131" s="15"/>
      <c r="FX131" s="15"/>
      <c r="FY131" s="15"/>
      <c r="FZ131" s="15"/>
      <c r="GA131" s="15"/>
      <c r="GB131" s="15"/>
      <c r="GC131" s="15"/>
      <c r="GD131" s="15"/>
      <c r="GE131" s="15"/>
      <c r="GF131" s="15"/>
      <c r="GG131" s="15"/>
      <c r="GH131" s="15"/>
      <c r="GI131" s="15"/>
      <c r="GJ131" s="15"/>
      <c r="GK131" s="15"/>
      <c r="GL131" s="15"/>
      <c r="GM131" s="15"/>
      <c r="GN131" s="15"/>
      <c r="GO131" s="15"/>
      <c r="GP131" s="15"/>
      <c r="GQ131" s="15"/>
      <c r="GR131" s="15"/>
      <c r="GS131" s="15"/>
      <c r="GT131" s="15"/>
      <c r="GU131" s="15"/>
      <c r="GV131" s="15"/>
      <c r="GW131" s="15"/>
      <c r="GX131" s="15"/>
      <c r="GY131" s="15"/>
      <c r="GZ131" s="15"/>
      <c r="HA131" s="15"/>
      <c r="HB131" s="15"/>
      <c r="HC131" s="15"/>
      <c r="HD131" s="15"/>
      <c r="HE131" s="15"/>
      <c r="HF131" s="15"/>
      <c r="HG131" s="15"/>
      <c r="HH131" s="15"/>
      <c r="HI131" s="15"/>
      <c r="HJ131" s="15"/>
      <c r="HK131" s="15"/>
      <c r="HL131" s="15"/>
      <c r="HM131" s="15"/>
      <c r="HN131" s="15"/>
      <c r="HO131" s="15"/>
      <c r="HP131" s="15"/>
      <c r="HQ131" s="15"/>
      <c r="HR131" s="15"/>
      <c r="HS131" s="15"/>
      <c r="HT131" s="15"/>
      <c r="HU131" s="15"/>
      <c r="HV131" s="15"/>
      <c r="HW131" s="15"/>
      <c r="HX131" s="15"/>
      <c r="HY131" s="15"/>
      <c r="HZ131" s="15"/>
      <c r="IA131" s="15"/>
      <c r="IB131" s="15"/>
      <c r="IC131" s="15"/>
      <c r="ID131" s="15"/>
      <c r="IE131" s="15"/>
      <c r="IF131" s="15"/>
      <c r="IG131" s="15"/>
      <c r="IH131" s="15"/>
      <c r="II131" s="15"/>
      <c r="IJ131" s="15"/>
      <c r="IK131" s="15"/>
      <c r="IL131" s="15"/>
      <c r="IM131" s="15"/>
      <c r="IN131" s="15"/>
      <c r="IO131" s="15"/>
      <c r="IP131" s="15"/>
      <c r="IQ131" s="15"/>
      <c r="IR131" s="15"/>
      <c r="IS131" s="15"/>
      <c r="IT131" s="15"/>
      <c r="IU131" s="16"/>
    </row>
    <row r="132" spans="1:255" ht="16" customHeight="1">
      <c r="A132" s="48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6"/>
      <c r="O132" s="48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5"/>
      <c r="ES132" s="15"/>
      <c r="ET132" s="15"/>
      <c r="EU132" s="15"/>
      <c r="EV132" s="15"/>
      <c r="EW132" s="15"/>
      <c r="EX132" s="15"/>
      <c r="EY132" s="15"/>
      <c r="EZ132" s="15"/>
      <c r="FA132" s="15"/>
      <c r="FB132" s="15"/>
      <c r="FC132" s="15"/>
      <c r="FD132" s="15"/>
      <c r="FE132" s="15"/>
      <c r="FF132" s="15"/>
      <c r="FG132" s="15"/>
      <c r="FH132" s="15"/>
      <c r="FI132" s="15"/>
      <c r="FJ132" s="15"/>
      <c r="FK132" s="15"/>
      <c r="FL132" s="15"/>
      <c r="FM132" s="15"/>
      <c r="FN132" s="15"/>
      <c r="FO132" s="15"/>
      <c r="FP132" s="15"/>
      <c r="FQ132" s="15"/>
      <c r="FR132" s="15"/>
      <c r="FS132" s="15"/>
      <c r="FT132" s="15"/>
      <c r="FU132" s="15"/>
      <c r="FV132" s="15"/>
      <c r="FW132" s="15"/>
      <c r="FX132" s="15"/>
      <c r="FY132" s="15"/>
      <c r="FZ132" s="15"/>
      <c r="GA132" s="15"/>
      <c r="GB132" s="15"/>
      <c r="GC132" s="15"/>
      <c r="GD132" s="15"/>
      <c r="GE132" s="15"/>
      <c r="GF132" s="15"/>
      <c r="GG132" s="15"/>
      <c r="GH132" s="15"/>
      <c r="GI132" s="15"/>
      <c r="GJ132" s="15"/>
      <c r="GK132" s="15"/>
      <c r="GL132" s="15"/>
      <c r="GM132" s="15"/>
      <c r="GN132" s="15"/>
      <c r="GO132" s="15"/>
      <c r="GP132" s="15"/>
      <c r="GQ132" s="15"/>
      <c r="GR132" s="15"/>
      <c r="GS132" s="15"/>
      <c r="GT132" s="15"/>
      <c r="GU132" s="15"/>
      <c r="GV132" s="15"/>
      <c r="GW132" s="15"/>
      <c r="GX132" s="15"/>
      <c r="GY132" s="15"/>
      <c r="GZ132" s="15"/>
      <c r="HA132" s="15"/>
      <c r="HB132" s="15"/>
      <c r="HC132" s="15"/>
      <c r="HD132" s="15"/>
      <c r="HE132" s="15"/>
      <c r="HF132" s="15"/>
      <c r="HG132" s="15"/>
      <c r="HH132" s="15"/>
      <c r="HI132" s="15"/>
      <c r="HJ132" s="15"/>
      <c r="HK132" s="15"/>
      <c r="HL132" s="15"/>
      <c r="HM132" s="15"/>
      <c r="HN132" s="15"/>
      <c r="HO132" s="15"/>
      <c r="HP132" s="15"/>
      <c r="HQ132" s="15"/>
      <c r="HR132" s="15"/>
      <c r="HS132" s="15"/>
      <c r="HT132" s="15"/>
      <c r="HU132" s="15"/>
      <c r="HV132" s="15"/>
      <c r="HW132" s="15"/>
      <c r="HX132" s="15"/>
      <c r="HY132" s="15"/>
      <c r="HZ132" s="15"/>
      <c r="IA132" s="15"/>
      <c r="IB132" s="15"/>
      <c r="IC132" s="15"/>
      <c r="ID132" s="15"/>
      <c r="IE132" s="15"/>
      <c r="IF132" s="15"/>
      <c r="IG132" s="15"/>
      <c r="IH132" s="15"/>
      <c r="II132" s="15"/>
      <c r="IJ132" s="15"/>
      <c r="IK132" s="15"/>
      <c r="IL132" s="15"/>
      <c r="IM132" s="15"/>
      <c r="IN132" s="15"/>
      <c r="IO132" s="15"/>
      <c r="IP132" s="15"/>
      <c r="IQ132" s="15"/>
      <c r="IR132" s="15"/>
      <c r="IS132" s="15"/>
      <c r="IT132" s="15"/>
      <c r="IU132" s="16"/>
    </row>
    <row r="133" spans="1:255" ht="16" customHeight="1">
      <c r="A133" s="48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6"/>
      <c r="O133" s="48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  <c r="ET133" s="15"/>
      <c r="EU133" s="15"/>
      <c r="EV133" s="15"/>
      <c r="EW133" s="15"/>
      <c r="EX133" s="15"/>
      <c r="EY133" s="15"/>
      <c r="EZ133" s="15"/>
      <c r="FA133" s="15"/>
      <c r="FB133" s="15"/>
      <c r="FC133" s="15"/>
      <c r="FD133" s="15"/>
      <c r="FE133" s="15"/>
      <c r="FF133" s="15"/>
      <c r="FG133" s="15"/>
      <c r="FH133" s="15"/>
      <c r="FI133" s="15"/>
      <c r="FJ133" s="15"/>
      <c r="FK133" s="15"/>
      <c r="FL133" s="15"/>
      <c r="FM133" s="15"/>
      <c r="FN133" s="15"/>
      <c r="FO133" s="15"/>
      <c r="FP133" s="15"/>
      <c r="FQ133" s="15"/>
      <c r="FR133" s="15"/>
      <c r="FS133" s="15"/>
      <c r="FT133" s="15"/>
      <c r="FU133" s="15"/>
      <c r="FV133" s="15"/>
      <c r="FW133" s="15"/>
      <c r="FX133" s="15"/>
      <c r="FY133" s="15"/>
      <c r="FZ133" s="15"/>
      <c r="GA133" s="15"/>
      <c r="GB133" s="15"/>
      <c r="GC133" s="15"/>
      <c r="GD133" s="15"/>
      <c r="GE133" s="15"/>
      <c r="GF133" s="15"/>
      <c r="GG133" s="15"/>
      <c r="GH133" s="15"/>
      <c r="GI133" s="15"/>
      <c r="GJ133" s="15"/>
      <c r="GK133" s="15"/>
      <c r="GL133" s="15"/>
      <c r="GM133" s="15"/>
      <c r="GN133" s="15"/>
      <c r="GO133" s="15"/>
      <c r="GP133" s="15"/>
      <c r="GQ133" s="15"/>
      <c r="GR133" s="15"/>
      <c r="GS133" s="15"/>
      <c r="GT133" s="15"/>
      <c r="GU133" s="15"/>
      <c r="GV133" s="15"/>
      <c r="GW133" s="15"/>
      <c r="GX133" s="15"/>
      <c r="GY133" s="15"/>
      <c r="GZ133" s="15"/>
      <c r="HA133" s="15"/>
      <c r="HB133" s="15"/>
      <c r="HC133" s="15"/>
      <c r="HD133" s="15"/>
      <c r="HE133" s="15"/>
      <c r="HF133" s="15"/>
      <c r="HG133" s="15"/>
      <c r="HH133" s="15"/>
      <c r="HI133" s="15"/>
      <c r="HJ133" s="15"/>
      <c r="HK133" s="15"/>
      <c r="HL133" s="15"/>
      <c r="HM133" s="15"/>
      <c r="HN133" s="15"/>
      <c r="HO133" s="15"/>
      <c r="HP133" s="15"/>
      <c r="HQ133" s="15"/>
      <c r="HR133" s="15"/>
      <c r="HS133" s="15"/>
      <c r="HT133" s="15"/>
      <c r="HU133" s="15"/>
      <c r="HV133" s="15"/>
      <c r="HW133" s="15"/>
      <c r="HX133" s="15"/>
      <c r="HY133" s="15"/>
      <c r="HZ133" s="15"/>
      <c r="IA133" s="15"/>
      <c r="IB133" s="15"/>
      <c r="IC133" s="15"/>
      <c r="ID133" s="15"/>
      <c r="IE133" s="15"/>
      <c r="IF133" s="15"/>
      <c r="IG133" s="15"/>
      <c r="IH133" s="15"/>
      <c r="II133" s="15"/>
      <c r="IJ133" s="15"/>
      <c r="IK133" s="15"/>
      <c r="IL133" s="15"/>
      <c r="IM133" s="15"/>
      <c r="IN133" s="15"/>
      <c r="IO133" s="15"/>
      <c r="IP133" s="15"/>
      <c r="IQ133" s="15"/>
      <c r="IR133" s="15"/>
      <c r="IS133" s="15"/>
      <c r="IT133" s="15"/>
      <c r="IU133" s="16"/>
    </row>
    <row r="134" spans="1:255" ht="16" customHeight="1">
      <c r="A134" s="48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6"/>
      <c r="O134" s="48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/>
      <c r="EW134" s="15"/>
      <c r="EX134" s="15"/>
      <c r="EY134" s="15"/>
      <c r="EZ134" s="15"/>
      <c r="FA134" s="15"/>
      <c r="FB134" s="15"/>
      <c r="FC134" s="15"/>
      <c r="FD134" s="15"/>
      <c r="FE134" s="15"/>
      <c r="FF134" s="15"/>
      <c r="FG134" s="15"/>
      <c r="FH134" s="15"/>
      <c r="FI134" s="15"/>
      <c r="FJ134" s="15"/>
      <c r="FK134" s="15"/>
      <c r="FL134" s="15"/>
      <c r="FM134" s="15"/>
      <c r="FN134" s="15"/>
      <c r="FO134" s="15"/>
      <c r="FP134" s="15"/>
      <c r="FQ134" s="15"/>
      <c r="FR134" s="15"/>
      <c r="FS134" s="15"/>
      <c r="FT134" s="15"/>
      <c r="FU134" s="15"/>
      <c r="FV134" s="15"/>
      <c r="FW134" s="15"/>
      <c r="FX134" s="15"/>
      <c r="FY134" s="15"/>
      <c r="FZ134" s="15"/>
      <c r="GA134" s="15"/>
      <c r="GB134" s="15"/>
      <c r="GC134" s="15"/>
      <c r="GD134" s="15"/>
      <c r="GE134" s="15"/>
      <c r="GF134" s="15"/>
      <c r="GG134" s="15"/>
      <c r="GH134" s="15"/>
      <c r="GI134" s="15"/>
      <c r="GJ134" s="15"/>
      <c r="GK134" s="15"/>
      <c r="GL134" s="15"/>
      <c r="GM134" s="15"/>
      <c r="GN134" s="15"/>
      <c r="GO134" s="15"/>
      <c r="GP134" s="15"/>
      <c r="GQ134" s="15"/>
      <c r="GR134" s="15"/>
      <c r="GS134" s="15"/>
      <c r="GT134" s="15"/>
      <c r="GU134" s="15"/>
      <c r="GV134" s="15"/>
      <c r="GW134" s="15"/>
      <c r="GX134" s="15"/>
      <c r="GY134" s="15"/>
      <c r="GZ134" s="15"/>
      <c r="HA134" s="15"/>
      <c r="HB134" s="15"/>
      <c r="HC134" s="15"/>
      <c r="HD134" s="15"/>
      <c r="HE134" s="15"/>
      <c r="HF134" s="15"/>
      <c r="HG134" s="15"/>
      <c r="HH134" s="15"/>
      <c r="HI134" s="15"/>
      <c r="HJ134" s="15"/>
      <c r="HK134" s="15"/>
      <c r="HL134" s="15"/>
      <c r="HM134" s="15"/>
      <c r="HN134" s="15"/>
      <c r="HO134" s="15"/>
      <c r="HP134" s="15"/>
      <c r="HQ134" s="15"/>
      <c r="HR134" s="15"/>
      <c r="HS134" s="15"/>
      <c r="HT134" s="15"/>
      <c r="HU134" s="15"/>
      <c r="HV134" s="15"/>
      <c r="HW134" s="15"/>
      <c r="HX134" s="15"/>
      <c r="HY134" s="15"/>
      <c r="HZ134" s="15"/>
      <c r="IA134" s="15"/>
      <c r="IB134" s="15"/>
      <c r="IC134" s="15"/>
      <c r="ID134" s="15"/>
      <c r="IE134" s="15"/>
      <c r="IF134" s="15"/>
      <c r="IG134" s="15"/>
      <c r="IH134" s="15"/>
      <c r="II134" s="15"/>
      <c r="IJ134" s="15"/>
      <c r="IK134" s="15"/>
      <c r="IL134" s="15"/>
      <c r="IM134" s="15"/>
      <c r="IN134" s="15"/>
      <c r="IO134" s="15"/>
      <c r="IP134" s="15"/>
      <c r="IQ134" s="15"/>
      <c r="IR134" s="15"/>
      <c r="IS134" s="15"/>
      <c r="IT134" s="15"/>
      <c r="IU134" s="16"/>
    </row>
    <row r="135" spans="1:255" ht="16" customHeight="1">
      <c r="A135" s="307"/>
      <c r="B135" s="308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5"/>
      <c r="O135" s="307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  <c r="CM135" s="54"/>
      <c r="CN135" s="54"/>
      <c r="CO135" s="54"/>
      <c r="CP135" s="54"/>
      <c r="CQ135" s="54"/>
      <c r="CR135" s="54"/>
      <c r="CS135" s="54"/>
      <c r="CT135" s="54"/>
      <c r="CU135" s="54"/>
      <c r="CV135" s="54"/>
      <c r="CW135" s="54"/>
      <c r="CX135" s="54"/>
      <c r="CY135" s="54"/>
      <c r="CZ135" s="54"/>
      <c r="DA135" s="54"/>
      <c r="DB135" s="54"/>
      <c r="DC135" s="54"/>
      <c r="DD135" s="54"/>
      <c r="DE135" s="54"/>
      <c r="DF135" s="54"/>
      <c r="DG135" s="54"/>
      <c r="DH135" s="54"/>
      <c r="DI135" s="54"/>
      <c r="DJ135" s="54"/>
      <c r="DK135" s="54"/>
      <c r="DL135" s="54"/>
      <c r="DM135" s="54"/>
      <c r="DN135" s="54"/>
      <c r="DO135" s="54"/>
      <c r="DP135" s="54"/>
      <c r="DQ135" s="54"/>
      <c r="DR135" s="54"/>
      <c r="DS135" s="54"/>
      <c r="DT135" s="54"/>
      <c r="DU135" s="54"/>
      <c r="DV135" s="54"/>
      <c r="DW135" s="54"/>
      <c r="DX135" s="54"/>
      <c r="DY135" s="54"/>
      <c r="DZ135" s="54"/>
      <c r="EA135" s="54"/>
      <c r="EB135" s="54"/>
      <c r="EC135" s="54"/>
      <c r="ED135" s="54"/>
      <c r="EE135" s="54"/>
      <c r="EF135" s="54"/>
      <c r="EG135" s="54"/>
      <c r="EH135" s="54"/>
      <c r="EI135" s="54"/>
      <c r="EJ135" s="54"/>
      <c r="EK135" s="54"/>
      <c r="EL135" s="54"/>
      <c r="EM135" s="54"/>
      <c r="EN135" s="54"/>
      <c r="EO135" s="54"/>
      <c r="EP135" s="54"/>
      <c r="EQ135" s="54"/>
      <c r="ER135" s="54"/>
      <c r="ES135" s="54"/>
      <c r="ET135" s="54"/>
      <c r="EU135" s="54"/>
      <c r="EV135" s="54"/>
      <c r="EW135" s="54"/>
      <c r="EX135" s="54"/>
      <c r="EY135" s="54"/>
      <c r="EZ135" s="54"/>
      <c r="FA135" s="54"/>
      <c r="FB135" s="54"/>
      <c r="FC135" s="54"/>
      <c r="FD135" s="54"/>
      <c r="FE135" s="54"/>
      <c r="FF135" s="54"/>
      <c r="FG135" s="54"/>
      <c r="FH135" s="54"/>
      <c r="FI135" s="54"/>
      <c r="FJ135" s="54"/>
      <c r="FK135" s="54"/>
      <c r="FL135" s="54"/>
      <c r="FM135" s="54"/>
      <c r="FN135" s="54"/>
      <c r="FO135" s="54"/>
      <c r="FP135" s="54"/>
      <c r="FQ135" s="54"/>
      <c r="FR135" s="54"/>
      <c r="FS135" s="54"/>
      <c r="FT135" s="54"/>
      <c r="FU135" s="54"/>
      <c r="FV135" s="54"/>
      <c r="FW135" s="54"/>
      <c r="FX135" s="54"/>
      <c r="FY135" s="54"/>
      <c r="FZ135" s="54"/>
      <c r="GA135" s="54"/>
      <c r="GB135" s="54"/>
      <c r="GC135" s="54"/>
      <c r="GD135" s="54"/>
      <c r="GE135" s="54"/>
      <c r="GF135" s="54"/>
      <c r="GG135" s="54"/>
      <c r="GH135" s="54"/>
      <c r="GI135" s="54"/>
      <c r="GJ135" s="54"/>
      <c r="GK135" s="54"/>
      <c r="GL135" s="54"/>
      <c r="GM135" s="54"/>
      <c r="GN135" s="54"/>
      <c r="GO135" s="54"/>
      <c r="GP135" s="54"/>
      <c r="GQ135" s="54"/>
      <c r="GR135" s="54"/>
      <c r="GS135" s="54"/>
      <c r="GT135" s="54"/>
      <c r="GU135" s="54"/>
      <c r="GV135" s="54"/>
      <c r="GW135" s="54"/>
      <c r="GX135" s="54"/>
      <c r="GY135" s="54"/>
      <c r="GZ135" s="54"/>
      <c r="HA135" s="54"/>
      <c r="HB135" s="54"/>
      <c r="HC135" s="54"/>
      <c r="HD135" s="54"/>
      <c r="HE135" s="54"/>
      <c r="HF135" s="54"/>
      <c r="HG135" s="54"/>
      <c r="HH135" s="54"/>
      <c r="HI135" s="54"/>
      <c r="HJ135" s="54"/>
      <c r="HK135" s="54"/>
      <c r="HL135" s="54"/>
      <c r="HM135" s="54"/>
      <c r="HN135" s="54"/>
      <c r="HO135" s="54"/>
      <c r="HP135" s="54"/>
      <c r="HQ135" s="54"/>
      <c r="HR135" s="54"/>
      <c r="HS135" s="54"/>
      <c r="HT135" s="54"/>
      <c r="HU135" s="54"/>
      <c r="HV135" s="54"/>
      <c r="HW135" s="54"/>
      <c r="HX135" s="54"/>
      <c r="HY135" s="54"/>
      <c r="HZ135" s="54"/>
      <c r="IA135" s="54"/>
      <c r="IB135" s="54"/>
      <c r="IC135" s="54"/>
      <c r="ID135" s="54"/>
      <c r="IE135" s="54"/>
      <c r="IF135" s="54"/>
      <c r="IG135" s="54"/>
      <c r="IH135" s="54"/>
      <c r="II135" s="54"/>
      <c r="IJ135" s="54"/>
      <c r="IK135" s="54"/>
      <c r="IL135" s="54"/>
      <c r="IM135" s="54"/>
      <c r="IN135" s="54"/>
      <c r="IO135" s="54"/>
      <c r="IP135" s="54"/>
      <c r="IQ135" s="54"/>
      <c r="IR135" s="54"/>
      <c r="IS135" s="54"/>
      <c r="IT135" s="54"/>
      <c r="IU135" s="55"/>
    </row>
    <row r="136" spans="1:255" ht="17" customHeight="1">
      <c r="A136" s="194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7"/>
    </row>
    <row r="137" spans="1:255" ht="17" customHeight="1">
      <c r="A137" s="48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  <c r="DJ137" s="15"/>
      <c r="DK137" s="15"/>
      <c r="DL137" s="1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  <c r="DW137" s="15"/>
      <c r="DX137" s="15"/>
      <c r="DY137" s="15"/>
      <c r="DZ137" s="15"/>
      <c r="EA137" s="15"/>
      <c r="EB137" s="15"/>
      <c r="EC137" s="15"/>
      <c r="ED137" s="15"/>
      <c r="EE137" s="15"/>
      <c r="EF137" s="15"/>
      <c r="EG137" s="15"/>
      <c r="EH137" s="15"/>
      <c r="EI137" s="15"/>
      <c r="EJ137" s="15"/>
      <c r="EK137" s="15"/>
      <c r="EL137" s="15"/>
      <c r="EM137" s="15"/>
      <c r="EN137" s="15"/>
      <c r="EO137" s="15"/>
      <c r="EP137" s="15"/>
      <c r="EQ137" s="15"/>
      <c r="ER137" s="15"/>
      <c r="ES137" s="15"/>
      <c r="ET137" s="15"/>
      <c r="EU137" s="15"/>
      <c r="EV137" s="15"/>
      <c r="EW137" s="15"/>
      <c r="EX137" s="15"/>
      <c r="EY137" s="15"/>
      <c r="EZ137" s="15"/>
      <c r="FA137" s="15"/>
      <c r="FB137" s="15"/>
      <c r="FC137" s="15"/>
      <c r="FD137" s="15"/>
      <c r="FE137" s="15"/>
      <c r="FF137" s="15"/>
      <c r="FG137" s="15"/>
      <c r="FH137" s="15"/>
      <c r="FI137" s="15"/>
      <c r="FJ137" s="15"/>
      <c r="FK137" s="15"/>
      <c r="FL137" s="15"/>
      <c r="FM137" s="15"/>
      <c r="FN137" s="15"/>
      <c r="FO137" s="15"/>
      <c r="FP137" s="15"/>
      <c r="FQ137" s="15"/>
      <c r="FR137" s="15"/>
      <c r="FS137" s="15"/>
      <c r="FT137" s="15"/>
      <c r="FU137" s="15"/>
      <c r="FV137" s="15"/>
      <c r="FW137" s="15"/>
      <c r="FX137" s="15"/>
      <c r="FY137" s="15"/>
      <c r="FZ137" s="15"/>
      <c r="GA137" s="15"/>
      <c r="GB137" s="15"/>
      <c r="GC137" s="15"/>
      <c r="GD137" s="15"/>
      <c r="GE137" s="15"/>
      <c r="GF137" s="15"/>
      <c r="GG137" s="15"/>
      <c r="GH137" s="15"/>
      <c r="GI137" s="15"/>
      <c r="GJ137" s="15"/>
      <c r="GK137" s="15"/>
      <c r="GL137" s="15"/>
      <c r="GM137" s="15"/>
      <c r="GN137" s="15"/>
      <c r="GO137" s="15"/>
      <c r="GP137" s="15"/>
      <c r="GQ137" s="15"/>
      <c r="GR137" s="15"/>
      <c r="GS137" s="15"/>
      <c r="GT137" s="15"/>
      <c r="GU137" s="15"/>
      <c r="GV137" s="15"/>
      <c r="GW137" s="15"/>
      <c r="GX137" s="15"/>
      <c r="GY137" s="15"/>
      <c r="GZ137" s="15"/>
      <c r="HA137" s="15"/>
      <c r="HB137" s="15"/>
      <c r="HC137" s="15"/>
      <c r="HD137" s="15"/>
      <c r="HE137" s="15"/>
      <c r="HF137" s="15"/>
      <c r="HG137" s="15"/>
      <c r="HH137" s="15"/>
      <c r="HI137" s="15"/>
      <c r="HJ137" s="15"/>
      <c r="HK137" s="15"/>
      <c r="HL137" s="15"/>
      <c r="HM137" s="15"/>
      <c r="HN137" s="15"/>
      <c r="HO137" s="15"/>
      <c r="HP137" s="15"/>
      <c r="HQ137" s="15"/>
      <c r="HR137" s="15"/>
      <c r="HS137" s="15"/>
      <c r="HT137" s="15"/>
      <c r="HU137" s="15"/>
      <c r="HV137" s="15"/>
      <c r="HW137" s="15"/>
      <c r="HX137" s="15"/>
      <c r="HY137" s="15"/>
      <c r="HZ137" s="15"/>
      <c r="IA137" s="15"/>
      <c r="IB137" s="15"/>
      <c r="IC137" s="15"/>
      <c r="ID137" s="15"/>
      <c r="IE137" s="15"/>
      <c r="IF137" s="15"/>
      <c r="IG137" s="15"/>
      <c r="IH137" s="15"/>
      <c r="II137" s="15"/>
      <c r="IJ137" s="15"/>
      <c r="IK137" s="15"/>
      <c r="IL137" s="15"/>
      <c r="IM137" s="15"/>
      <c r="IN137" s="15"/>
      <c r="IO137" s="15"/>
      <c r="IP137" s="15"/>
      <c r="IQ137" s="15"/>
      <c r="IR137" s="15"/>
      <c r="IS137" s="15"/>
      <c r="IT137" s="15"/>
      <c r="IU137" s="16"/>
    </row>
    <row r="138" spans="1:255" ht="17" customHeight="1">
      <c r="A138" s="48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  <c r="DN138" s="15"/>
      <c r="DO138" s="15"/>
      <c r="DP138" s="15"/>
      <c r="DQ138" s="15"/>
      <c r="DR138" s="15"/>
      <c r="DS138" s="15"/>
      <c r="DT138" s="15"/>
      <c r="DU138" s="15"/>
      <c r="DV138" s="15"/>
      <c r="DW138" s="15"/>
      <c r="DX138" s="15"/>
      <c r="DY138" s="15"/>
      <c r="DZ138" s="15"/>
      <c r="EA138" s="15"/>
      <c r="EB138" s="15"/>
      <c r="EC138" s="15"/>
      <c r="ED138" s="15"/>
      <c r="EE138" s="15"/>
      <c r="EF138" s="15"/>
      <c r="EG138" s="15"/>
      <c r="EH138" s="15"/>
      <c r="EI138" s="15"/>
      <c r="EJ138" s="15"/>
      <c r="EK138" s="15"/>
      <c r="EL138" s="15"/>
      <c r="EM138" s="15"/>
      <c r="EN138" s="15"/>
      <c r="EO138" s="15"/>
      <c r="EP138" s="15"/>
      <c r="EQ138" s="15"/>
      <c r="ER138" s="15"/>
      <c r="ES138" s="15"/>
      <c r="ET138" s="15"/>
      <c r="EU138" s="15"/>
      <c r="EV138" s="15"/>
      <c r="EW138" s="15"/>
      <c r="EX138" s="15"/>
      <c r="EY138" s="15"/>
      <c r="EZ138" s="15"/>
      <c r="FA138" s="15"/>
      <c r="FB138" s="15"/>
      <c r="FC138" s="15"/>
      <c r="FD138" s="15"/>
      <c r="FE138" s="15"/>
      <c r="FF138" s="15"/>
      <c r="FG138" s="15"/>
      <c r="FH138" s="15"/>
      <c r="FI138" s="15"/>
      <c r="FJ138" s="15"/>
      <c r="FK138" s="15"/>
      <c r="FL138" s="15"/>
      <c r="FM138" s="15"/>
      <c r="FN138" s="15"/>
      <c r="FO138" s="15"/>
      <c r="FP138" s="15"/>
      <c r="FQ138" s="15"/>
      <c r="FR138" s="15"/>
      <c r="FS138" s="15"/>
      <c r="FT138" s="15"/>
      <c r="FU138" s="15"/>
      <c r="FV138" s="15"/>
      <c r="FW138" s="15"/>
      <c r="FX138" s="15"/>
      <c r="FY138" s="15"/>
      <c r="FZ138" s="15"/>
      <c r="GA138" s="15"/>
      <c r="GB138" s="15"/>
      <c r="GC138" s="15"/>
      <c r="GD138" s="15"/>
      <c r="GE138" s="15"/>
      <c r="GF138" s="15"/>
      <c r="GG138" s="15"/>
      <c r="GH138" s="15"/>
      <c r="GI138" s="15"/>
      <c r="GJ138" s="15"/>
      <c r="GK138" s="15"/>
      <c r="GL138" s="15"/>
      <c r="GM138" s="15"/>
      <c r="GN138" s="15"/>
      <c r="GO138" s="15"/>
      <c r="GP138" s="15"/>
      <c r="GQ138" s="15"/>
      <c r="GR138" s="15"/>
      <c r="GS138" s="15"/>
      <c r="GT138" s="15"/>
      <c r="GU138" s="15"/>
      <c r="GV138" s="15"/>
      <c r="GW138" s="15"/>
      <c r="GX138" s="15"/>
      <c r="GY138" s="15"/>
      <c r="GZ138" s="15"/>
      <c r="HA138" s="15"/>
      <c r="HB138" s="15"/>
      <c r="HC138" s="15"/>
      <c r="HD138" s="15"/>
      <c r="HE138" s="15"/>
      <c r="HF138" s="15"/>
      <c r="HG138" s="15"/>
      <c r="HH138" s="15"/>
      <c r="HI138" s="15"/>
      <c r="HJ138" s="15"/>
      <c r="HK138" s="15"/>
      <c r="HL138" s="15"/>
      <c r="HM138" s="15"/>
      <c r="HN138" s="15"/>
      <c r="HO138" s="15"/>
      <c r="HP138" s="15"/>
      <c r="HQ138" s="15"/>
      <c r="HR138" s="15"/>
      <c r="HS138" s="15"/>
      <c r="HT138" s="15"/>
      <c r="HU138" s="15"/>
      <c r="HV138" s="15"/>
      <c r="HW138" s="15"/>
      <c r="HX138" s="15"/>
      <c r="HY138" s="15"/>
      <c r="HZ138" s="15"/>
      <c r="IA138" s="15"/>
      <c r="IB138" s="15"/>
      <c r="IC138" s="15"/>
      <c r="ID138" s="15"/>
      <c r="IE138" s="15"/>
      <c r="IF138" s="15"/>
      <c r="IG138" s="15"/>
      <c r="IH138" s="15"/>
      <c r="II138" s="15"/>
      <c r="IJ138" s="15"/>
      <c r="IK138" s="15"/>
      <c r="IL138" s="15"/>
      <c r="IM138" s="15"/>
      <c r="IN138" s="15"/>
      <c r="IO138" s="15"/>
      <c r="IP138" s="15"/>
      <c r="IQ138" s="15"/>
      <c r="IR138" s="15"/>
      <c r="IS138" s="15"/>
      <c r="IT138" s="15"/>
      <c r="IU138" s="16"/>
    </row>
    <row r="139" spans="1:255" ht="17" customHeight="1">
      <c r="A139" s="48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  <c r="DN139" s="15"/>
      <c r="DO139" s="15"/>
      <c r="DP139" s="15"/>
      <c r="DQ139" s="15"/>
      <c r="DR139" s="15"/>
      <c r="DS139" s="15"/>
      <c r="DT139" s="15"/>
      <c r="DU139" s="15"/>
      <c r="DV139" s="15"/>
      <c r="DW139" s="15"/>
      <c r="DX139" s="15"/>
      <c r="DY139" s="15"/>
      <c r="DZ139" s="15"/>
      <c r="EA139" s="15"/>
      <c r="EB139" s="15"/>
      <c r="EC139" s="15"/>
      <c r="ED139" s="15"/>
      <c r="EE139" s="15"/>
      <c r="EF139" s="15"/>
      <c r="EG139" s="15"/>
      <c r="EH139" s="15"/>
      <c r="EI139" s="15"/>
      <c r="EJ139" s="15"/>
      <c r="EK139" s="15"/>
      <c r="EL139" s="15"/>
      <c r="EM139" s="15"/>
      <c r="EN139" s="15"/>
      <c r="EO139" s="15"/>
      <c r="EP139" s="15"/>
      <c r="EQ139" s="15"/>
      <c r="ER139" s="15"/>
      <c r="ES139" s="15"/>
      <c r="ET139" s="15"/>
      <c r="EU139" s="15"/>
      <c r="EV139" s="15"/>
      <c r="EW139" s="15"/>
      <c r="EX139" s="15"/>
      <c r="EY139" s="15"/>
      <c r="EZ139" s="15"/>
      <c r="FA139" s="15"/>
      <c r="FB139" s="15"/>
      <c r="FC139" s="15"/>
      <c r="FD139" s="15"/>
      <c r="FE139" s="15"/>
      <c r="FF139" s="15"/>
      <c r="FG139" s="15"/>
      <c r="FH139" s="15"/>
      <c r="FI139" s="15"/>
      <c r="FJ139" s="15"/>
      <c r="FK139" s="15"/>
      <c r="FL139" s="15"/>
      <c r="FM139" s="15"/>
      <c r="FN139" s="15"/>
      <c r="FO139" s="15"/>
      <c r="FP139" s="15"/>
      <c r="FQ139" s="15"/>
      <c r="FR139" s="15"/>
      <c r="FS139" s="15"/>
      <c r="FT139" s="15"/>
      <c r="FU139" s="15"/>
      <c r="FV139" s="15"/>
      <c r="FW139" s="15"/>
      <c r="FX139" s="15"/>
      <c r="FY139" s="15"/>
      <c r="FZ139" s="15"/>
      <c r="GA139" s="15"/>
      <c r="GB139" s="15"/>
      <c r="GC139" s="15"/>
      <c r="GD139" s="15"/>
      <c r="GE139" s="15"/>
      <c r="GF139" s="15"/>
      <c r="GG139" s="15"/>
      <c r="GH139" s="15"/>
      <c r="GI139" s="15"/>
      <c r="GJ139" s="15"/>
      <c r="GK139" s="15"/>
      <c r="GL139" s="15"/>
      <c r="GM139" s="15"/>
      <c r="GN139" s="15"/>
      <c r="GO139" s="15"/>
      <c r="GP139" s="15"/>
      <c r="GQ139" s="15"/>
      <c r="GR139" s="15"/>
      <c r="GS139" s="15"/>
      <c r="GT139" s="15"/>
      <c r="GU139" s="15"/>
      <c r="GV139" s="15"/>
      <c r="GW139" s="15"/>
      <c r="GX139" s="15"/>
      <c r="GY139" s="15"/>
      <c r="GZ139" s="15"/>
      <c r="HA139" s="15"/>
      <c r="HB139" s="15"/>
      <c r="HC139" s="15"/>
      <c r="HD139" s="15"/>
      <c r="HE139" s="15"/>
      <c r="HF139" s="15"/>
      <c r="HG139" s="15"/>
      <c r="HH139" s="15"/>
      <c r="HI139" s="15"/>
      <c r="HJ139" s="15"/>
      <c r="HK139" s="15"/>
      <c r="HL139" s="15"/>
      <c r="HM139" s="15"/>
      <c r="HN139" s="15"/>
      <c r="HO139" s="15"/>
      <c r="HP139" s="15"/>
      <c r="HQ139" s="15"/>
      <c r="HR139" s="15"/>
      <c r="HS139" s="15"/>
      <c r="HT139" s="15"/>
      <c r="HU139" s="15"/>
      <c r="HV139" s="15"/>
      <c r="HW139" s="15"/>
      <c r="HX139" s="15"/>
      <c r="HY139" s="15"/>
      <c r="HZ139" s="15"/>
      <c r="IA139" s="15"/>
      <c r="IB139" s="15"/>
      <c r="IC139" s="15"/>
      <c r="ID139" s="15"/>
      <c r="IE139" s="15"/>
      <c r="IF139" s="15"/>
      <c r="IG139" s="15"/>
      <c r="IH139" s="15"/>
      <c r="II139" s="15"/>
      <c r="IJ139" s="15"/>
      <c r="IK139" s="15"/>
      <c r="IL139" s="15"/>
      <c r="IM139" s="15"/>
      <c r="IN139" s="15"/>
      <c r="IO139" s="15"/>
      <c r="IP139" s="15"/>
      <c r="IQ139" s="15"/>
      <c r="IR139" s="15"/>
      <c r="IS139" s="15"/>
      <c r="IT139" s="15"/>
      <c r="IU139" s="16"/>
    </row>
    <row r="140" spans="1:255" ht="17" customHeight="1">
      <c r="A140" s="48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  <c r="DN140" s="15"/>
      <c r="DO140" s="15"/>
      <c r="DP140" s="15"/>
      <c r="DQ140" s="15"/>
      <c r="DR140" s="15"/>
      <c r="DS140" s="15"/>
      <c r="DT140" s="15"/>
      <c r="DU140" s="15"/>
      <c r="DV140" s="15"/>
      <c r="DW140" s="15"/>
      <c r="DX140" s="15"/>
      <c r="DY140" s="15"/>
      <c r="DZ140" s="15"/>
      <c r="EA140" s="15"/>
      <c r="EB140" s="15"/>
      <c r="EC140" s="15"/>
      <c r="ED140" s="15"/>
      <c r="EE140" s="15"/>
      <c r="EF140" s="15"/>
      <c r="EG140" s="15"/>
      <c r="EH140" s="15"/>
      <c r="EI140" s="15"/>
      <c r="EJ140" s="15"/>
      <c r="EK140" s="15"/>
      <c r="EL140" s="15"/>
      <c r="EM140" s="15"/>
      <c r="EN140" s="15"/>
      <c r="EO140" s="15"/>
      <c r="EP140" s="15"/>
      <c r="EQ140" s="15"/>
      <c r="ER140" s="15"/>
      <c r="ES140" s="15"/>
      <c r="ET140" s="15"/>
      <c r="EU140" s="15"/>
      <c r="EV140" s="15"/>
      <c r="EW140" s="15"/>
      <c r="EX140" s="15"/>
      <c r="EY140" s="15"/>
      <c r="EZ140" s="15"/>
      <c r="FA140" s="15"/>
      <c r="FB140" s="15"/>
      <c r="FC140" s="15"/>
      <c r="FD140" s="15"/>
      <c r="FE140" s="15"/>
      <c r="FF140" s="15"/>
      <c r="FG140" s="15"/>
      <c r="FH140" s="15"/>
      <c r="FI140" s="15"/>
      <c r="FJ140" s="15"/>
      <c r="FK140" s="15"/>
      <c r="FL140" s="15"/>
      <c r="FM140" s="15"/>
      <c r="FN140" s="15"/>
      <c r="FO140" s="15"/>
      <c r="FP140" s="15"/>
      <c r="FQ140" s="15"/>
      <c r="FR140" s="15"/>
      <c r="FS140" s="15"/>
      <c r="FT140" s="15"/>
      <c r="FU140" s="15"/>
      <c r="FV140" s="15"/>
      <c r="FW140" s="15"/>
      <c r="FX140" s="15"/>
      <c r="FY140" s="15"/>
      <c r="FZ140" s="15"/>
      <c r="GA140" s="15"/>
      <c r="GB140" s="15"/>
      <c r="GC140" s="15"/>
      <c r="GD140" s="15"/>
      <c r="GE140" s="15"/>
      <c r="GF140" s="15"/>
      <c r="GG140" s="15"/>
      <c r="GH140" s="15"/>
      <c r="GI140" s="15"/>
      <c r="GJ140" s="15"/>
      <c r="GK140" s="15"/>
      <c r="GL140" s="15"/>
      <c r="GM140" s="15"/>
      <c r="GN140" s="15"/>
      <c r="GO140" s="15"/>
      <c r="GP140" s="15"/>
      <c r="GQ140" s="15"/>
      <c r="GR140" s="15"/>
      <c r="GS140" s="15"/>
      <c r="GT140" s="15"/>
      <c r="GU140" s="15"/>
      <c r="GV140" s="15"/>
      <c r="GW140" s="15"/>
      <c r="GX140" s="15"/>
      <c r="GY140" s="15"/>
      <c r="GZ140" s="15"/>
      <c r="HA140" s="15"/>
      <c r="HB140" s="15"/>
      <c r="HC140" s="15"/>
      <c r="HD140" s="15"/>
      <c r="HE140" s="15"/>
      <c r="HF140" s="15"/>
      <c r="HG140" s="15"/>
      <c r="HH140" s="15"/>
      <c r="HI140" s="15"/>
      <c r="HJ140" s="15"/>
      <c r="HK140" s="15"/>
      <c r="HL140" s="15"/>
      <c r="HM140" s="15"/>
      <c r="HN140" s="15"/>
      <c r="HO140" s="15"/>
      <c r="HP140" s="15"/>
      <c r="HQ140" s="15"/>
      <c r="HR140" s="15"/>
      <c r="HS140" s="15"/>
      <c r="HT140" s="15"/>
      <c r="HU140" s="15"/>
      <c r="HV140" s="15"/>
      <c r="HW140" s="15"/>
      <c r="HX140" s="15"/>
      <c r="HY140" s="15"/>
      <c r="HZ140" s="15"/>
      <c r="IA140" s="15"/>
      <c r="IB140" s="15"/>
      <c r="IC140" s="15"/>
      <c r="ID140" s="15"/>
      <c r="IE140" s="15"/>
      <c r="IF140" s="15"/>
      <c r="IG140" s="15"/>
      <c r="IH140" s="15"/>
      <c r="II140" s="15"/>
      <c r="IJ140" s="15"/>
      <c r="IK140" s="15"/>
      <c r="IL140" s="15"/>
      <c r="IM140" s="15"/>
      <c r="IN140" s="15"/>
      <c r="IO140" s="15"/>
      <c r="IP140" s="15"/>
      <c r="IQ140" s="15"/>
      <c r="IR140" s="15"/>
      <c r="IS140" s="15"/>
      <c r="IT140" s="15"/>
      <c r="IU140" s="16"/>
    </row>
    <row r="141" spans="1:255" ht="17" customHeight="1">
      <c r="A141" s="48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  <c r="DL141" s="15"/>
      <c r="DM141" s="15"/>
      <c r="DN141" s="15"/>
      <c r="DO141" s="15"/>
      <c r="DP141" s="15"/>
      <c r="DQ141" s="15"/>
      <c r="DR141" s="15"/>
      <c r="DS141" s="15"/>
      <c r="DT141" s="15"/>
      <c r="DU141" s="15"/>
      <c r="DV141" s="15"/>
      <c r="DW141" s="15"/>
      <c r="DX141" s="15"/>
      <c r="DY141" s="15"/>
      <c r="DZ141" s="15"/>
      <c r="EA141" s="15"/>
      <c r="EB141" s="15"/>
      <c r="EC141" s="15"/>
      <c r="ED141" s="15"/>
      <c r="EE141" s="15"/>
      <c r="EF141" s="15"/>
      <c r="EG141" s="15"/>
      <c r="EH141" s="15"/>
      <c r="EI141" s="15"/>
      <c r="EJ141" s="15"/>
      <c r="EK141" s="15"/>
      <c r="EL141" s="15"/>
      <c r="EM141" s="15"/>
      <c r="EN141" s="15"/>
      <c r="EO141" s="15"/>
      <c r="EP141" s="15"/>
      <c r="EQ141" s="15"/>
      <c r="ER141" s="15"/>
      <c r="ES141" s="15"/>
      <c r="ET141" s="15"/>
      <c r="EU141" s="15"/>
      <c r="EV141" s="15"/>
      <c r="EW141" s="15"/>
      <c r="EX141" s="15"/>
      <c r="EY141" s="15"/>
      <c r="EZ141" s="15"/>
      <c r="FA141" s="15"/>
      <c r="FB141" s="15"/>
      <c r="FC141" s="15"/>
      <c r="FD141" s="15"/>
      <c r="FE141" s="15"/>
      <c r="FF141" s="15"/>
      <c r="FG141" s="15"/>
      <c r="FH141" s="15"/>
      <c r="FI141" s="15"/>
      <c r="FJ141" s="15"/>
      <c r="FK141" s="15"/>
      <c r="FL141" s="15"/>
      <c r="FM141" s="15"/>
      <c r="FN141" s="15"/>
      <c r="FO141" s="15"/>
      <c r="FP141" s="15"/>
      <c r="FQ141" s="15"/>
      <c r="FR141" s="15"/>
      <c r="FS141" s="15"/>
      <c r="FT141" s="15"/>
      <c r="FU141" s="15"/>
      <c r="FV141" s="15"/>
      <c r="FW141" s="15"/>
      <c r="FX141" s="15"/>
      <c r="FY141" s="15"/>
      <c r="FZ141" s="15"/>
      <c r="GA141" s="15"/>
      <c r="GB141" s="15"/>
      <c r="GC141" s="15"/>
      <c r="GD141" s="15"/>
      <c r="GE141" s="15"/>
      <c r="GF141" s="15"/>
      <c r="GG141" s="15"/>
      <c r="GH141" s="15"/>
      <c r="GI141" s="15"/>
      <c r="GJ141" s="15"/>
      <c r="GK141" s="15"/>
      <c r="GL141" s="15"/>
      <c r="GM141" s="15"/>
      <c r="GN141" s="15"/>
      <c r="GO141" s="15"/>
      <c r="GP141" s="15"/>
      <c r="GQ141" s="15"/>
      <c r="GR141" s="15"/>
      <c r="GS141" s="15"/>
      <c r="GT141" s="15"/>
      <c r="GU141" s="15"/>
      <c r="GV141" s="15"/>
      <c r="GW141" s="15"/>
      <c r="GX141" s="15"/>
      <c r="GY141" s="15"/>
      <c r="GZ141" s="15"/>
      <c r="HA141" s="15"/>
      <c r="HB141" s="15"/>
      <c r="HC141" s="15"/>
      <c r="HD141" s="15"/>
      <c r="HE141" s="15"/>
      <c r="HF141" s="15"/>
      <c r="HG141" s="15"/>
      <c r="HH141" s="15"/>
      <c r="HI141" s="15"/>
      <c r="HJ141" s="15"/>
      <c r="HK141" s="15"/>
      <c r="HL141" s="15"/>
      <c r="HM141" s="15"/>
      <c r="HN141" s="15"/>
      <c r="HO141" s="15"/>
      <c r="HP141" s="15"/>
      <c r="HQ141" s="15"/>
      <c r="HR141" s="15"/>
      <c r="HS141" s="15"/>
      <c r="HT141" s="15"/>
      <c r="HU141" s="15"/>
      <c r="HV141" s="15"/>
      <c r="HW141" s="15"/>
      <c r="HX141" s="15"/>
      <c r="HY141" s="15"/>
      <c r="HZ141" s="15"/>
      <c r="IA141" s="15"/>
      <c r="IB141" s="15"/>
      <c r="IC141" s="15"/>
      <c r="ID141" s="15"/>
      <c r="IE141" s="15"/>
      <c r="IF141" s="15"/>
      <c r="IG141" s="15"/>
      <c r="IH141" s="15"/>
      <c r="II141" s="15"/>
      <c r="IJ141" s="15"/>
      <c r="IK141" s="15"/>
      <c r="IL141" s="15"/>
      <c r="IM141" s="15"/>
      <c r="IN141" s="15"/>
      <c r="IO141" s="15"/>
      <c r="IP141" s="15"/>
      <c r="IQ141" s="15"/>
      <c r="IR141" s="15"/>
      <c r="IS141" s="15"/>
      <c r="IT141" s="15"/>
      <c r="IU141" s="16"/>
    </row>
    <row r="142" spans="1:255" ht="17" customHeight="1">
      <c r="A142" s="48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  <c r="DM142" s="15"/>
      <c r="DN142" s="15"/>
      <c r="DO142" s="15"/>
      <c r="DP142" s="15"/>
      <c r="DQ142" s="15"/>
      <c r="DR142" s="15"/>
      <c r="DS142" s="15"/>
      <c r="DT142" s="15"/>
      <c r="DU142" s="15"/>
      <c r="DV142" s="15"/>
      <c r="DW142" s="15"/>
      <c r="DX142" s="15"/>
      <c r="DY142" s="15"/>
      <c r="DZ142" s="15"/>
      <c r="EA142" s="15"/>
      <c r="EB142" s="15"/>
      <c r="EC142" s="15"/>
      <c r="ED142" s="15"/>
      <c r="EE142" s="15"/>
      <c r="EF142" s="15"/>
      <c r="EG142" s="15"/>
      <c r="EH142" s="15"/>
      <c r="EI142" s="15"/>
      <c r="EJ142" s="15"/>
      <c r="EK142" s="15"/>
      <c r="EL142" s="15"/>
      <c r="EM142" s="15"/>
      <c r="EN142" s="15"/>
      <c r="EO142" s="15"/>
      <c r="EP142" s="15"/>
      <c r="EQ142" s="15"/>
      <c r="ER142" s="15"/>
      <c r="ES142" s="15"/>
      <c r="ET142" s="15"/>
      <c r="EU142" s="15"/>
      <c r="EV142" s="15"/>
      <c r="EW142" s="15"/>
      <c r="EX142" s="15"/>
      <c r="EY142" s="15"/>
      <c r="EZ142" s="15"/>
      <c r="FA142" s="15"/>
      <c r="FB142" s="15"/>
      <c r="FC142" s="15"/>
      <c r="FD142" s="15"/>
      <c r="FE142" s="15"/>
      <c r="FF142" s="15"/>
      <c r="FG142" s="15"/>
      <c r="FH142" s="15"/>
      <c r="FI142" s="15"/>
      <c r="FJ142" s="15"/>
      <c r="FK142" s="15"/>
      <c r="FL142" s="15"/>
      <c r="FM142" s="15"/>
      <c r="FN142" s="15"/>
      <c r="FO142" s="15"/>
      <c r="FP142" s="15"/>
      <c r="FQ142" s="15"/>
      <c r="FR142" s="15"/>
      <c r="FS142" s="15"/>
      <c r="FT142" s="15"/>
      <c r="FU142" s="15"/>
      <c r="FV142" s="15"/>
      <c r="FW142" s="15"/>
      <c r="FX142" s="15"/>
      <c r="FY142" s="15"/>
      <c r="FZ142" s="15"/>
      <c r="GA142" s="15"/>
      <c r="GB142" s="15"/>
      <c r="GC142" s="15"/>
      <c r="GD142" s="15"/>
      <c r="GE142" s="15"/>
      <c r="GF142" s="15"/>
      <c r="GG142" s="15"/>
      <c r="GH142" s="15"/>
      <c r="GI142" s="15"/>
      <c r="GJ142" s="15"/>
      <c r="GK142" s="15"/>
      <c r="GL142" s="15"/>
      <c r="GM142" s="15"/>
      <c r="GN142" s="15"/>
      <c r="GO142" s="15"/>
      <c r="GP142" s="15"/>
      <c r="GQ142" s="15"/>
      <c r="GR142" s="15"/>
      <c r="GS142" s="15"/>
      <c r="GT142" s="15"/>
      <c r="GU142" s="15"/>
      <c r="GV142" s="15"/>
      <c r="GW142" s="15"/>
      <c r="GX142" s="15"/>
      <c r="GY142" s="15"/>
      <c r="GZ142" s="15"/>
      <c r="HA142" s="15"/>
      <c r="HB142" s="15"/>
      <c r="HC142" s="15"/>
      <c r="HD142" s="15"/>
      <c r="HE142" s="15"/>
      <c r="HF142" s="15"/>
      <c r="HG142" s="15"/>
      <c r="HH142" s="15"/>
      <c r="HI142" s="15"/>
      <c r="HJ142" s="15"/>
      <c r="HK142" s="15"/>
      <c r="HL142" s="15"/>
      <c r="HM142" s="15"/>
      <c r="HN142" s="15"/>
      <c r="HO142" s="15"/>
      <c r="HP142" s="15"/>
      <c r="HQ142" s="15"/>
      <c r="HR142" s="15"/>
      <c r="HS142" s="15"/>
      <c r="HT142" s="15"/>
      <c r="HU142" s="15"/>
      <c r="HV142" s="15"/>
      <c r="HW142" s="15"/>
      <c r="HX142" s="15"/>
      <c r="HY142" s="15"/>
      <c r="HZ142" s="15"/>
      <c r="IA142" s="15"/>
      <c r="IB142" s="15"/>
      <c r="IC142" s="15"/>
      <c r="ID142" s="15"/>
      <c r="IE142" s="15"/>
      <c r="IF142" s="15"/>
      <c r="IG142" s="15"/>
      <c r="IH142" s="15"/>
      <c r="II142" s="15"/>
      <c r="IJ142" s="15"/>
      <c r="IK142" s="15"/>
      <c r="IL142" s="15"/>
      <c r="IM142" s="15"/>
      <c r="IN142" s="15"/>
      <c r="IO142" s="15"/>
      <c r="IP142" s="15"/>
      <c r="IQ142" s="15"/>
      <c r="IR142" s="15"/>
      <c r="IS142" s="15"/>
      <c r="IT142" s="15"/>
      <c r="IU142" s="16"/>
    </row>
    <row r="143" spans="1:255" ht="17" customHeight="1">
      <c r="A143" s="48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  <c r="DJ143" s="15"/>
      <c r="DK143" s="15"/>
      <c r="DL143" s="15"/>
      <c r="DM143" s="15"/>
      <c r="DN143" s="15"/>
      <c r="DO143" s="15"/>
      <c r="DP143" s="15"/>
      <c r="DQ143" s="15"/>
      <c r="DR143" s="15"/>
      <c r="DS143" s="15"/>
      <c r="DT143" s="15"/>
      <c r="DU143" s="15"/>
      <c r="DV143" s="15"/>
      <c r="DW143" s="15"/>
      <c r="DX143" s="15"/>
      <c r="DY143" s="15"/>
      <c r="DZ143" s="15"/>
      <c r="EA143" s="15"/>
      <c r="EB143" s="15"/>
      <c r="EC143" s="15"/>
      <c r="ED143" s="15"/>
      <c r="EE143" s="15"/>
      <c r="EF143" s="15"/>
      <c r="EG143" s="15"/>
      <c r="EH143" s="15"/>
      <c r="EI143" s="15"/>
      <c r="EJ143" s="15"/>
      <c r="EK143" s="15"/>
      <c r="EL143" s="15"/>
      <c r="EM143" s="15"/>
      <c r="EN143" s="15"/>
      <c r="EO143" s="15"/>
      <c r="EP143" s="15"/>
      <c r="EQ143" s="15"/>
      <c r="ER143" s="15"/>
      <c r="ES143" s="15"/>
      <c r="ET143" s="15"/>
      <c r="EU143" s="15"/>
      <c r="EV143" s="15"/>
      <c r="EW143" s="15"/>
      <c r="EX143" s="15"/>
      <c r="EY143" s="15"/>
      <c r="EZ143" s="15"/>
      <c r="FA143" s="15"/>
      <c r="FB143" s="15"/>
      <c r="FC143" s="15"/>
      <c r="FD143" s="15"/>
      <c r="FE143" s="15"/>
      <c r="FF143" s="15"/>
      <c r="FG143" s="15"/>
      <c r="FH143" s="15"/>
      <c r="FI143" s="15"/>
      <c r="FJ143" s="15"/>
      <c r="FK143" s="15"/>
      <c r="FL143" s="15"/>
      <c r="FM143" s="15"/>
      <c r="FN143" s="15"/>
      <c r="FO143" s="15"/>
      <c r="FP143" s="15"/>
      <c r="FQ143" s="15"/>
      <c r="FR143" s="15"/>
      <c r="FS143" s="15"/>
      <c r="FT143" s="15"/>
      <c r="FU143" s="15"/>
      <c r="FV143" s="15"/>
      <c r="FW143" s="15"/>
      <c r="FX143" s="15"/>
      <c r="FY143" s="15"/>
      <c r="FZ143" s="15"/>
      <c r="GA143" s="15"/>
      <c r="GB143" s="15"/>
      <c r="GC143" s="15"/>
      <c r="GD143" s="15"/>
      <c r="GE143" s="15"/>
      <c r="GF143" s="15"/>
      <c r="GG143" s="15"/>
      <c r="GH143" s="15"/>
      <c r="GI143" s="15"/>
      <c r="GJ143" s="15"/>
      <c r="GK143" s="15"/>
      <c r="GL143" s="15"/>
      <c r="GM143" s="15"/>
      <c r="GN143" s="15"/>
      <c r="GO143" s="15"/>
      <c r="GP143" s="15"/>
      <c r="GQ143" s="15"/>
      <c r="GR143" s="15"/>
      <c r="GS143" s="15"/>
      <c r="GT143" s="15"/>
      <c r="GU143" s="15"/>
      <c r="GV143" s="15"/>
      <c r="GW143" s="15"/>
      <c r="GX143" s="15"/>
      <c r="GY143" s="15"/>
      <c r="GZ143" s="15"/>
      <c r="HA143" s="15"/>
      <c r="HB143" s="15"/>
      <c r="HC143" s="15"/>
      <c r="HD143" s="15"/>
      <c r="HE143" s="15"/>
      <c r="HF143" s="15"/>
      <c r="HG143" s="15"/>
      <c r="HH143" s="15"/>
      <c r="HI143" s="15"/>
      <c r="HJ143" s="15"/>
      <c r="HK143" s="15"/>
      <c r="HL143" s="15"/>
      <c r="HM143" s="15"/>
      <c r="HN143" s="15"/>
      <c r="HO143" s="15"/>
      <c r="HP143" s="15"/>
      <c r="HQ143" s="15"/>
      <c r="HR143" s="15"/>
      <c r="HS143" s="15"/>
      <c r="HT143" s="15"/>
      <c r="HU143" s="15"/>
      <c r="HV143" s="15"/>
      <c r="HW143" s="15"/>
      <c r="HX143" s="15"/>
      <c r="HY143" s="15"/>
      <c r="HZ143" s="15"/>
      <c r="IA143" s="15"/>
      <c r="IB143" s="15"/>
      <c r="IC143" s="15"/>
      <c r="ID143" s="15"/>
      <c r="IE143" s="15"/>
      <c r="IF143" s="15"/>
      <c r="IG143" s="15"/>
      <c r="IH143" s="15"/>
      <c r="II143" s="15"/>
      <c r="IJ143" s="15"/>
      <c r="IK143" s="15"/>
      <c r="IL143" s="15"/>
      <c r="IM143" s="15"/>
      <c r="IN143" s="15"/>
      <c r="IO143" s="15"/>
      <c r="IP143" s="15"/>
      <c r="IQ143" s="15"/>
      <c r="IR143" s="15"/>
      <c r="IS143" s="15"/>
      <c r="IT143" s="15"/>
      <c r="IU143" s="16"/>
    </row>
    <row r="144" spans="1:255" ht="17" customHeight="1">
      <c r="A144" s="48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  <c r="DN144" s="15"/>
      <c r="DO144" s="15"/>
      <c r="DP144" s="15"/>
      <c r="DQ144" s="15"/>
      <c r="DR144" s="15"/>
      <c r="DS144" s="15"/>
      <c r="DT144" s="15"/>
      <c r="DU144" s="15"/>
      <c r="DV144" s="15"/>
      <c r="DW144" s="15"/>
      <c r="DX144" s="15"/>
      <c r="DY144" s="15"/>
      <c r="DZ144" s="15"/>
      <c r="EA144" s="15"/>
      <c r="EB144" s="15"/>
      <c r="EC144" s="15"/>
      <c r="ED144" s="15"/>
      <c r="EE144" s="15"/>
      <c r="EF144" s="15"/>
      <c r="EG144" s="15"/>
      <c r="EH144" s="15"/>
      <c r="EI144" s="15"/>
      <c r="EJ144" s="15"/>
      <c r="EK144" s="15"/>
      <c r="EL144" s="15"/>
      <c r="EM144" s="15"/>
      <c r="EN144" s="15"/>
      <c r="EO144" s="15"/>
      <c r="EP144" s="15"/>
      <c r="EQ144" s="15"/>
      <c r="ER144" s="15"/>
      <c r="ES144" s="15"/>
      <c r="ET144" s="15"/>
      <c r="EU144" s="15"/>
      <c r="EV144" s="15"/>
      <c r="EW144" s="15"/>
      <c r="EX144" s="15"/>
      <c r="EY144" s="15"/>
      <c r="EZ144" s="15"/>
      <c r="FA144" s="15"/>
      <c r="FB144" s="15"/>
      <c r="FC144" s="15"/>
      <c r="FD144" s="15"/>
      <c r="FE144" s="15"/>
      <c r="FF144" s="15"/>
      <c r="FG144" s="15"/>
      <c r="FH144" s="15"/>
      <c r="FI144" s="15"/>
      <c r="FJ144" s="15"/>
      <c r="FK144" s="15"/>
      <c r="FL144" s="15"/>
      <c r="FM144" s="15"/>
      <c r="FN144" s="15"/>
      <c r="FO144" s="15"/>
      <c r="FP144" s="15"/>
      <c r="FQ144" s="15"/>
      <c r="FR144" s="15"/>
      <c r="FS144" s="15"/>
      <c r="FT144" s="15"/>
      <c r="FU144" s="15"/>
      <c r="FV144" s="15"/>
      <c r="FW144" s="15"/>
      <c r="FX144" s="15"/>
      <c r="FY144" s="15"/>
      <c r="FZ144" s="15"/>
      <c r="GA144" s="15"/>
      <c r="GB144" s="15"/>
      <c r="GC144" s="15"/>
      <c r="GD144" s="15"/>
      <c r="GE144" s="15"/>
      <c r="GF144" s="15"/>
      <c r="GG144" s="15"/>
      <c r="GH144" s="15"/>
      <c r="GI144" s="15"/>
      <c r="GJ144" s="15"/>
      <c r="GK144" s="15"/>
      <c r="GL144" s="15"/>
      <c r="GM144" s="15"/>
      <c r="GN144" s="15"/>
      <c r="GO144" s="15"/>
      <c r="GP144" s="15"/>
      <c r="GQ144" s="15"/>
      <c r="GR144" s="15"/>
      <c r="GS144" s="15"/>
      <c r="GT144" s="15"/>
      <c r="GU144" s="15"/>
      <c r="GV144" s="15"/>
      <c r="GW144" s="15"/>
      <c r="GX144" s="15"/>
      <c r="GY144" s="15"/>
      <c r="GZ144" s="15"/>
      <c r="HA144" s="15"/>
      <c r="HB144" s="15"/>
      <c r="HC144" s="15"/>
      <c r="HD144" s="15"/>
      <c r="HE144" s="15"/>
      <c r="HF144" s="15"/>
      <c r="HG144" s="15"/>
      <c r="HH144" s="15"/>
      <c r="HI144" s="15"/>
      <c r="HJ144" s="15"/>
      <c r="HK144" s="15"/>
      <c r="HL144" s="15"/>
      <c r="HM144" s="15"/>
      <c r="HN144" s="15"/>
      <c r="HO144" s="15"/>
      <c r="HP144" s="15"/>
      <c r="HQ144" s="15"/>
      <c r="HR144" s="15"/>
      <c r="HS144" s="15"/>
      <c r="HT144" s="15"/>
      <c r="HU144" s="15"/>
      <c r="HV144" s="15"/>
      <c r="HW144" s="15"/>
      <c r="HX144" s="15"/>
      <c r="HY144" s="15"/>
      <c r="HZ144" s="15"/>
      <c r="IA144" s="15"/>
      <c r="IB144" s="15"/>
      <c r="IC144" s="15"/>
      <c r="ID144" s="15"/>
      <c r="IE144" s="15"/>
      <c r="IF144" s="15"/>
      <c r="IG144" s="15"/>
      <c r="IH144" s="15"/>
      <c r="II144" s="15"/>
      <c r="IJ144" s="15"/>
      <c r="IK144" s="15"/>
      <c r="IL144" s="15"/>
      <c r="IM144" s="15"/>
      <c r="IN144" s="15"/>
      <c r="IO144" s="15"/>
      <c r="IP144" s="15"/>
      <c r="IQ144" s="15"/>
      <c r="IR144" s="15"/>
      <c r="IS144" s="15"/>
      <c r="IT144" s="15"/>
      <c r="IU144" s="16"/>
    </row>
    <row r="145" spans="1:255" ht="17" customHeight="1">
      <c r="A145" s="48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  <c r="DL145" s="15"/>
      <c r="DM145" s="15"/>
      <c r="DN145" s="15"/>
      <c r="DO145" s="15"/>
      <c r="DP145" s="15"/>
      <c r="DQ145" s="15"/>
      <c r="DR145" s="15"/>
      <c r="DS145" s="15"/>
      <c r="DT145" s="15"/>
      <c r="DU145" s="15"/>
      <c r="DV145" s="15"/>
      <c r="DW145" s="15"/>
      <c r="DX145" s="15"/>
      <c r="DY145" s="15"/>
      <c r="DZ145" s="15"/>
      <c r="EA145" s="15"/>
      <c r="EB145" s="15"/>
      <c r="EC145" s="15"/>
      <c r="ED145" s="15"/>
      <c r="EE145" s="15"/>
      <c r="EF145" s="15"/>
      <c r="EG145" s="15"/>
      <c r="EH145" s="15"/>
      <c r="EI145" s="15"/>
      <c r="EJ145" s="15"/>
      <c r="EK145" s="15"/>
      <c r="EL145" s="15"/>
      <c r="EM145" s="15"/>
      <c r="EN145" s="15"/>
      <c r="EO145" s="15"/>
      <c r="EP145" s="15"/>
      <c r="EQ145" s="15"/>
      <c r="ER145" s="15"/>
      <c r="ES145" s="15"/>
      <c r="ET145" s="15"/>
      <c r="EU145" s="15"/>
      <c r="EV145" s="15"/>
      <c r="EW145" s="15"/>
      <c r="EX145" s="15"/>
      <c r="EY145" s="15"/>
      <c r="EZ145" s="15"/>
      <c r="FA145" s="15"/>
      <c r="FB145" s="15"/>
      <c r="FC145" s="15"/>
      <c r="FD145" s="15"/>
      <c r="FE145" s="15"/>
      <c r="FF145" s="15"/>
      <c r="FG145" s="15"/>
      <c r="FH145" s="15"/>
      <c r="FI145" s="15"/>
      <c r="FJ145" s="15"/>
      <c r="FK145" s="15"/>
      <c r="FL145" s="15"/>
      <c r="FM145" s="15"/>
      <c r="FN145" s="15"/>
      <c r="FO145" s="15"/>
      <c r="FP145" s="15"/>
      <c r="FQ145" s="15"/>
      <c r="FR145" s="15"/>
      <c r="FS145" s="15"/>
      <c r="FT145" s="15"/>
      <c r="FU145" s="15"/>
      <c r="FV145" s="15"/>
      <c r="FW145" s="15"/>
      <c r="FX145" s="15"/>
      <c r="FY145" s="15"/>
      <c r="FZ145" s="15"/>
      <c r="GA145" s="15"/>
      <c r="GB145" s="15"/>
      <c r="GC145" s="15"/>
      <c r="GD145" s="15"/>
      <c r="GE145" s="15"/>
      <c r="GF145" s="15"/>
      <c r="GG145" s="15"/>
      <c r="GH145" s="15"/>
      <c r="GI145" s="15"/>
      <c r="GJ145" s="15"/>
      <c r="GK145" s="15"/>
      <c r="GL145" s="15"/>
      <c r="GM145" s="15"/>
      <c r="GN145" s="15"/>
      <c r="GO145" s="15"/>
      <c r="GP145" s="15"/>
      <c r="GQ145" s="15"/>
      <c r="GR145" s="15"/>
      <c r="GS145" s="15"/>
      <c r="GT145" s="15"/>
      <c r="GU145" s="15"/>
      <c r="GV145" s="15"/>
      <c r="GW145" s="15"/>
      <c r="GX145" s="15"/>
      <c r="GY145" s="15"/>
      <c r="GZ145" s="15"/>
      <c r="HA145" s="15"/>
      <c r="HB145" s="15"/>
      <c r="HC145" s="15"/>
      <c r="HD145" s="15"/>
      <c r="HE145" s="15"/>
      <c r="HF145" s="15"/>
      <c r="HG145" s="15"/>
      <c r="HH145" s="15"/>
      <c r="HI145" s="15"/>
      <c r="HJ145" s="15"/>
      <c r="HK145" s="15"/>
      <c r="HL145" s="15"/>
      <c r="HM145" s="15"/>
      <c r="HN145" s="15"/>
      <c r="HO145" s="15"/>
      <c r="HP145" s="15"/>
      <c r="HQ145" s="15"/>
      <c r="HR145" s="15"/>
      <c r="HS145" s="15"/>
      <c r="HT145" s="15"/>
      <c r="HU145" s="15"/>
      <c r="HV145" s="15"/>
      <c r="HW145" s="15"/>
      <c r="HX145" s="15"/>
      <c r="HY145" s="15"/>
      <c r="HZ145" s="15"/>
      <c r="IA145" s="15"/>
      <c r="IB145" s="15"/>
      <c r="IC145" s="15"/>
      <c r="ID145" s="15"/>
      <c r="IE145" s="15"/>
      <c r="IF145" s="15"/>
      <c r="IG145" s="15"/>
      <c r="IH145" s="15"/>
      <c r="II145" s="15"/>
      <c r="IJ145" s="15"/>
      <c r="IK145" s="15"/>
      <c r="IL145" s="15"/>
      <c r="IM145" s="15"/>
      <c r="IN145" s="15"/>
      <c r="IO145" s="15"/>
      <c r="IP145" s="15"/>
      <c r="IQ145" s="15"/>
      <c r="IR145" s="15"/>
      <c r="IS145" s="15"/>
      <c r="IT145" s="15"/>
      <c r="IU145" s="16"/>
    </row>
    <row r="146" spans="1:255" ht="17" customHeight="1">
      <c r="A146" s="48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  <c r="DN146" s="15"/>
      <c r="DO146" s="15"/>
      <c r="DP146" s="15"/>
      <c r="DQ146" s="15"/>
      <c r="DR146" s="15"/>
      <c r="DS146" s="15"/>
      <c r="DT146" s="15"/>
      <c r="DU146" s="15"/>
      <c r="DV146" s="15"/>
      <c r="DW146" s="15"/>
      <c r="DX146" s="15"/>
      <c r="DY146" s="15"/>
      <c r="DZ146" s="15"/>
      <c r="EA146" s="15"/>
      <c r="EB146" s="15"/>
      <c r="EC146" s="15"/>
      <c r="ED146" s="15"/>
      <c r="EE146" s="15"/>
      <c r="EF146" s="15"/>
      <c r="EG146" s="15"/>
      <c r="EH146" s="15"/>
      <c r="EI146" s="15"/>
      <c r="EJ146" s="15"/>
      <c r="EK146" s="15"/>
      <c r="EL146" s="15"/>
      <c r="EM146" s="15"/>
      <c r="EN146" s="15"/>
      <c r="EO146" s="15"/>
      <c r="EP146" s="15"/>
      <c r="EQ146" s="15"/>
      <c r="ER146" s="15"/>
      <c r="ES146" s="15"/>
      <c r="ET146" s="15"/>
      <c r="EU146" s="15"/>
      <c r="EV146" s="15"/>
      <c r="EW146" s="15"/>
      <c r="EX146" s="15"/>
      <c r="EY146" s="15"/>
      <c r="EZ146" s="15"/>
      <c r="FA146" s="15"/>
      <c r="FB146" s="15"/>
      <c r="FC146" s="15"/>
      <c r="FD146" s="15"/>
      <c r="FE146" s="15"/>
      <c r="FF146" s="15"/>
      <c r="FG146" s="15"/>
      <c r="FH146" s="15"/>
      <c r="FI146" s="15"/>
      <c r="FJ146" s="15"/>
      <c r="FK146" s="15"/>
      <c r="FL146" s="15"/>
      <c r="FM146" s="15"/>
      <c r="FN146" s="15"/>
      <c r="FO146" s="15"/>
      <c r="FP146" s="15"/>
      <c r="FQ146" s="15"/>
      <c r="FR146" s="15"/>
      <c r="FS146" s="15"/>
      <c r="FT146" s="15"/>
      <c r="FU146" s="15"/>
      <c r="FV146" s="15"/>
      <c r="FW146" s="15"/>
      <c r="FX146" s="15"/>
      <c r="FY146" s="15"/>
      <c r="FZ146" s="15"/>
      <c r="GA146" s="15"/>
      <c r="GB146" s="15"/>
      <c r="GC146" s="15"/>
      <c r="GD146" s="15"/>
      <c r="GE146" s="15"/>
      <c r="GF146" s="15"/>
      <c r="GG146" s="15"/>
      <c r="GH146" s="15"/>
      <c r="GI146" s="15"/>
      <c r="GJ146" s="15"/>
      <c r="GK146" s="15"/>
      <c r="GL146" s="15"/>
      <c r="GM146" s="15"/>
      <c r="GN146" s="15"/>
      <c r="GO146" s="15"/>
      <c r="GP146" s="15"/>
      <c r="GQ146" s="15"/>
      <c r="GR146" s="15"/>
      <c r="GS146" s="15"/>
      <c r="GT146" s="15"/>
      <c r="GU146" s="15"/>
      <c r="GV146" s="15"/>
      <c r="GW146" s="15"/>
      <c r="GX146" s="15"/>
      <c r="GY146" s="15"/>
      <c r="GZ146" s="15"/>
      <c r="HA146" s="15"/>
      <c r="HB146" s="15"/>
      <c r="HC146" s="15"/>
      <c r="HD146" s="15"/>
      <c r="HE146" s="15"/>
      <c r="HF146" s="15"/>
      <c r="HG146" s="15"/>
      <c r="HH146" s="15"/>
      <c r="HI146" s="15"/>
      <c r="HJ146" s="15"/>
      <c r="HK146" s="15"/>
      <c r="HL146" s="15"/>
      <c r="HM146" s="15"/>
      <c r="HN146" s="15"/>
      <c r="HO146" s="15"/>
      <c r="HP146" s="15"/>
      <c r="HQ146" s="15"/>
      <c r="HR146" s="15"/>
      <c r="HS146" s="15"/>
      <c r="HT146" s="15"/>
      <c r="HU146" s="15"/>
      <c r="HV146" s="15"/>
      <c r="HW146" s="15"/>
      <c r="HX146" s="15"/>
      <c r="HY146" s="15"/>
      <c r="HZ146" s="15"/>
      <c r="IA146" s="15"/>
      <c r="IB146" s="15"/>
      <c r="IC146" s="15"/>
      <c r="ID146" s="15"/>
      <c r="IE146" s="15"/>
      <c r="IF146" s="15"/>
      <c r="IG146" s="15"/>
      <c r="IH146" s="15"/>
      <c r="II146" s="15"/>
      <c r="IJ146" s="15"/>
      <c r="IK146" s="15"/>
      <c r="IL146" s="15"/>
      <c r="IM146" s="15"/>
      <c r="IN146" s="15"/>
      <c r="IO146" s="15"/>
      <c r="IP146" s="15"/>
      <c r="IQ146" s="15"/>
      <c r="IR146" s="15"/>
      <c r="IS146" s="15"/>
      <c r="IT146" s="15"/>
      <c r="IU146" s="16"/>
    </row>
    <row r="147" spans="1:255" ht="17" customHeight="1">
      <c r="A147" s="48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  <c r="DJ147" s="15"/>
      <c r="DK147" s="15"/>
      <c r="DL147" s="15"/>
      <c r="DM147" s="15"/>
      <c r="DN147" s="15"/>
      <c r="DO147" s="15"/>
      <c r="DP147" s="15"/>
      <c r="DQ147" s="15"/>
      <c r="DR147" s="15"/>
      <c r="DS147" s="15"/>
      <c r="DT147" s="15"/>
      <c r="DU147" s="15"/>
      <c r="DV147" s="15"/>
      <c r="DW147" s="15"/>
      <c r="DX147" s="15"/>
      <c r="DY147" s="15"/>
      <c r="DZ147" s="15"/>
      <c r="EA147" s="15"/>
      <c r="EB147" s="15"/>
      <c r="EC147" s="15"/>
      <c r="ED147" s="15"/>
      <c r="EE147" s="15"/>
      <c r="EF147" s="15"/>
      <c r="EG147" s="15"/>
      <c r="EH147" s="15"/>
      <c r="EI147" s="15"/>
      <c r="EJ147" s="15"/>
      <c r="EK147" s="15"/>
      <c r="EL147" s="15"/>
      <c r="EM147" s="15"/>
      <c r="EN147" s="15"/>
      <c r="EO147" s="15"/>
      <c r="EP147" s="15"/>
      <c r="EQ147" s="15"/>
      <c r="ER147" s="15"/>
      <c r="ES147" s="15"/>
      <c r="ET147" s="15"/>
      <c r="EU147" s="15"/>
      <c r="EV147" s="15"/>
      <c r="EW147" s="15"/>
      <c r="EX147" s="15"/>
      <c r="EY147" s="15"/>
      <c r="EZ147" s="15"/>
      <c r="FA147" s="15"/>
      <c r="FB147" s="15"/>
      <c r="FC147" s="15"/>
      <c r="FD147" s="15"/>
      <c r="FE147" s="15"/>
      <c r="FF147" s="15"/>
      <c r="FG147" s="15"/>
      <c r="FH147" s="15"/>
      <c r="FI147" s="15"/>
      <c r="FJ147" s="15"/>
      <c r="FK147" s="15"/>
      <c r="FL147" s="15"/>
      <c r="FM147" s="15"/>
      <c r="FN147" s="15"/>
      <c r="FO147" s="15"/>
      <c r="FP147" s="15"/>
      <c r="FQ147" s="15"/>
      <c r="FR147" s="15"/>
      <c r="FS147" s="15"/>
      <c r="FT147" s="15"/>
      <c r="FU147" s="15"/>
      <c r="FV147" s="15"/>
      <c r="FW147" s="15"/>
      <c r="FX147" s="15"/>
      <c r="FY147" s="15"/>
      <c r="FZ147" s="15"/>
      <c r="GA147" s="15"/>
      <c r="GB147" s="15"/>
      <c r="GC147" s="15"/>
      <c r="GD147" s="15"/>
      <c r="GE147" s="15"/>
      <c r="GF147" s="15"/>
      <c r="GG147" s="15"/>
      <c r="GH147" s="15"/>
      <c r="GI147" s="15"/>
      <c r="GJ147" s="15"/>
      <c r="GK147" s="15"/>
      <c r="GL147" s="15"/>
      <c r="GM147" s="15"/>
      <c r="GN147" s="15"/>
      <c r="GO147" s="15"/>
      <c r="GP147" s="15"/>
      <c r="GQ147" s="15"/>
      <c r="GR147" s="15"/>
      <c r="GS147" s="15"/>
      <c r="GT147" s="15"/>
      <c r="GU147" s="15"/>
      <c r="GV147" s="15"/>
      <c r="GW147" s="15"/>
      <c r="GX147" s="15"/>
      <c r="GY147" s="15"/>
      <c r="GZ147" s="15"/>
      <c r="HA147" s="15"/>
      <c r="HB147" s="15"/>
      <c r="HC147" s="15"/>
      <c r="HD147" s="15"/>
      <c r="HE147" s="15"/>
      <c r="HF147" s="15"/>
      <c r="HG147" s="15"/>
      <c r="HH147" s="15"/>
      <c r="HI147" s="15"/>
      <c r="HJ147" s="15"/>
      <c r="HK147" s="15"/>
      <c r="HL147" s="15"/>
      <c r="HM147" s="15"/>
      <c r="HN147" s="15"/>
      <c r="HO147" s="15"/>
      <c r="HP147" s="15"/>
      <c r="HQ147" s="15"/>
      <c r="HR147" s="15"/>
      <c r="HS147" s="15"/>
      <c r="HT147" s="15"/>
      <c r="HU147" s="15"/>
      <c r="HV147" s="15"/>
      <c r="HW147" s="15"/>
      <c r="HX147" s="15"/>
      <c r="HY147" s="15"/>
      <c r="HZ147" s="15"/>
      <c r="IA147" s="15"/>
      <c r="IB147" s="15"/>
      <c r="IC147" s="15"/>
      <c r="ID147" s="15"/>
      <c r="IE147" s="15"/>
      <c r="IF147" s="15"/>
      <c r="IG147" s="15"/>
      <c r="IH147" s="15"/>
      <c r="II147" s="15"/>
      <c r="IJ147" s="15"/>
      <c r="IK147" s="15"/>
      <c r="IL147" s="15"/>
      <c r="IM147" s="15"/>
      <c r="IN147" s="15"/>
      <c r="IO147" s="15"/>
      <c r="IP147" s="15"/>
      <c r="IQ147" s="15"/>
      <c r="IR147" s="15"/>
      <c r="IS147" s="15"/>
      <c r="IT147" s="15"/>
      <c r="IU147" s="16"/>
    </row>
    <row r="148" spans="1:255" ht="17" customHeight="1">
      <c r="A148" s="48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  <c r="DL148" s="15"/>
      <c r="DM148" s="15"/>
      <c r="DN148" s="15"/>
      <c r="DO148" s="15"/>
      <c r="DP148" s="15"/>
      <c r="DQ148" s="15"/>
      <c r="DR148" s="15"/>
      <c r="DS148" s="15"/>
      <c r="DT148" s="15"/>
      <c r="DU148" s="15"/>
      <c r="DV148" s="15"/>
      <c r="DW148" s="15"/>
      <c r="DX148" s="15"/>
      <c r="DY148" s="15"/>
      <c r="DZ148" s="15"/>
      <c r="EA148" s="15"/>
      <c r="EB148" s="15"/>
      <c r="EC148" s="15"/>
      <c r="ED148" s="15"/>
      <c r="EE148" s="15"/>
      <c r="EF148" s="15"/>
      <c r="EG148" s="15"/>
      <c r="EH148" s="15"/>
      <c r="EI148" s="15"/>
      <c r="EJ148" s="15"/>
      <c r="EK148" s="15"/>
      <c r="EL148" s="15"/>
      <c r="EM148" s="15"/>
      <c r="EN148" s="15"/>
      <c r="EO148" s="15"/>
      <c r="EP148" s="15"/>
      <c r="EQ148" s="15"/>
      <c r="ER148" s="15"/>
      <c r="ES148" s="15"/>
      <c r="ET148" s="15"/>
      <c r="EU148" s="15"/>
      <c r="EV148" s="15"/>
      <c r="EW148" s="15"/>
      <c r="EX148" s="15"/>
      <c r="EY148" s="15"/>
      <c r="EZ148" s="15"/>
      <c r="FA148" s="15"/>
      <c r="FB148" s="15"/>
      <c r="FC148" s="15"/>
      <c r="FD148" s="15"/>
      <c r="FE148" s="15"/>
      <c r="FF148" s="15"/>
      <c r="FG148" s="15"/>
      <c r="FH148" s="15"/>
      <c r="FI148" s="15"/>
      <c r="FJ148" s="15"/>
      <c r="FK148" s="15"/>
      <c r="FL148" s="15"/>
      <c r="FM148" s="15"/>
      <c r="FN148" s="15"/>
      <c r="FO148" s="15"/>
      <c r="FP148" s="15"/>
      <c r="FQ148" s="15"/>
      <c r="FR148" s="15"/>
      <c r="FS148" s="15"/>
      <c r="FT148" s="15"/>
      <c r="FU148" s="15"/>
      <c r="FV148" s="15"/>
      <c r="FW148" s="15"/>
      <c r="FX148" s="15"/>
      <c r="FY148" s="15"/>
      <c r="FZ148" s="15"/>
      <c r="GA148" s="15"/>
      <c r="GB148" s="15"/>
      <c r="GC148" s="15"/>
      <c r="GD148" s="15"/>
      <c r="GE148" s="15"/>
      <c r="GF148" s="15"/>
      <c r="GG148" s="15"/>
      <c r="GH148" s="15"/>
      <c r="GI148" s="15"/>
      <c r="GJ148" s="15"/>
      <c r="GK148" s="15"/>
      <c r="GL148" s="15"/>
      <c r="GM148" s="15"/>
      <c r="GN148" s="15"/>
      <c r="GO148" s="15"/>
      <c r="GP148" s="15"/>
      <c r="GQ148" s="15"/>
      <c r="GR148" s="15"/>
      <c r="GS148" s="15"/>
      <c r="GT148" s="15"/>
      <c r="GU148" s="15"/>
      <c r="GV148" s="15"/>
      <c r="GW148" s="15"/>
      <c r="GX148" s="15"/>
      <c r="GY148" s="15"/>
      <c r="GZ148" s="15"/>
      <c r="HA148" s="15"/>
      <c r="HB148" s="15"/>
      <c r="HC148" s="15"/>
      <c r="HD148" s="15"/>
      <c r="HE148" s="15"/>
      <c r="HF148" s="15"/>
      <c r="HG148" s="15"/>
      <c r="HH148" s="15"/>
      <c r="HI148" s="15"/>
      <c r="HJ148" s="15"/>
      <c r="HK148" s="15"/>
      <c r="HL148" s="15"/>
      <c r="HM148" s="15"/>
      <c r="HN148" s="15"/>
      <c r="HO148" s="15"/>
      <c r="HP148" s="15"/>
      <c r="HQ148" s="15"/>
      <c r="HR148" s="15"/>
      <c r="HS148" s="15"/>
      <c r="HT148" s="15"/>
      <c r="HU148" s="15"/>
      <c r="HV148" s="15"/>
      <c r="HW148" s="15"/>
      <c r="HX148" s="15"/>
      <c r="HY148" s="15"/>
      <c r="HZ148" s="15"/>
      <c r="IA148" s="15"/>
      <c r="IB148" s="15"/>
      <c r="IC148" s="15"/>
      <c r="ID148" s="15"/>
      <c r="IE148" s="15"/>
      <c r="IF148" s="15"/>
      <c r="IG148" s="15"/>
      <c r="IH148" s="15"/>
      <c r="II148" s="15"/>
      <c r="IJ148" s="15"/>
      <c r="IK148" s="15"/>
      <c r="IL148" s="15"/>
      <c r="IM148" s="15"/>
      <c r="IN148" s="15"/>
      <c r="IO148" s="15"/>
      <c r="IP148" s="15"/>
      <c r="IQ148" s="15"/>
      <c r="IR148" s="15"/>
      <c r="IS148" s="15"/>
      <c r="IT148" s="15"/>
      <c r="IU148" s="16"/>
    </row>
    <row r="149" spans="1:255" ht="17" customHeight="1">
      <c r="A149" s="48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  <c r="DL149" s="15"/>
      <c r="DM149" s="15"/>
      <c r="DN149" s="15"/>
      <c r="DO149" s="15"/>
      <c r="DP149" s="15"/>
      <c r="DQ149" s="15"/>
      <c r="DR149" s="15"/>
      <c r="DS149" s="15"/>
      <c r="DT149" s="15"/>
      <c r="DU149" s="15"/>
      <c r="DV149" s="15"/>
      <c r="DW149" s="15"/>
      <c r="DX149" s="15"/>
      <c r="DY149" s="15"/>
      <c r="DZ149" s="15"/>
      <c r="EA149" s="15"/>
      <c r="EB149" s="15"/>
      <c r="EC149" s="15"/>
      <c r="ED149" s="15"/>
      <c r="EE149" s="15"/>
      <c r="EF149" s="15"/>
      <c r="EG149" s="15"/>
      <c r="EH149" s="15"/>
      <c r="EI149" s="15"/>
      <c r="EJ149" s="15"/>
      <c r="EK149" s="15"/>
      <c r="EL149" s="15"/>
      <c r="EM149" s="15"/>
      <c r="EN149" s="15"/>
      <c r="EO149" s="15"/>
      <c r="EP149" s="15"/>
      <c r="EQ149" s="15"/>
      <c r="ER149" s="15"/>
      <c r="ES149" s="15"/>
      <c r="ET149" s="15"/>
      <c r="EU149" s="15"/>
      <c r="EV149" s="15"/>
      <c r="EW149" s="15"/>
      <c r="EX149" s="15"/>
      <c r="EY149" s="15"/>
      <c r="EZ149" s="15"/>
      <c r="FA149" s="15"/>
      <c r="FB149" s="15"/>
      <c r="FC149" s="15"/>
      <c r="FD149" s="15"/>
      <c r="FE149" s="15"/>
      <c r="FF149" s="15"/>
      <c r="FG149" s="15"/>
      <c r="FH149" s="15"/>
      <c r="FI149" s="15"/>
      <c r="FJ149" s="15"/>
      <c r="FK149" s="15"/>
      <c r="FL149" s="15"/>
      <c r="FM149" s="15"/>
      <c r="FN149" s="15"/>
      <c r="FO149" s="15"/>
      <c r="FP149" s="15"/>
      <c r="FQ149" s="15"/>
      <c r="FR149" s="15"/>
      <c r="FS149" s="15"/>
      <c r="FT149" s="15"/>
      <c r="FU149" s="15"/>
      <c r="FV149" s="15"/>
      <c r="FW149" s="15"/>
      <c r="FX149" s="15"/>
      <c r="FY149" s="15"/>
      <c r="FZ149" s="15"/>
      <c r="GA149" s="15"/>
      <c r="GB149" s="15"/>
      <c r="GC149" s="15"/>
      <c r="GD149" s="15"/>
      <c r="GE149" s="15"/>
      <c r="GF149" s="15"/>
      <c r="GG149" s="15"/>
      <c r="GH149" s="15"/>
      <c r="GI149" s="15"/>
      <c r="GJ149" s="15"/>
      <c r="GK149" s="15"/>
      <c r="GL149" s="15"/>
      <c r="GM149" s="15"/>
      <c r="GN149" s="15"/>
      <c r="GO149" s="15"/>
      <c r="GP149" s="15"/>
      <c r="GQ149" s="15"/>
      <c r="GR149" s="15"/>
      <c r="GS149" s="15"/>
      <c r="GT149" s="15"/>
      <c r="GU149" s="15"/>
      <c r="GV149" s="15"/>
      <c r="GW149" s="15"/>
      <c r="GX149" s="15"/>
      <c r="GY149" s="15"/>
      <c r="GZ149" s="15"/>
      <c r="HA149" s="15"/>
      <c r="HB149" s="15"/>
      <c r="HC149" s="15"/>
      <c r="HD149" s="15"/>
      <c r="HE149" s="15"/>
      <c r="HF149" s="15"/>
      <c r="HG149" s="15"/>
      <c r="HH149" s="15"/>
      <c r="HI149" s="15"/>
      <c r="HJ149" s="15"/>
      <c r="HK149" s="15"/>
      <c r="HL149" s="15"/>
      <c r="HM149" s="15"/>
      <c r="HN149" s="15"/>
      <c r="HO149" s="15"/>
      <c r="HP149" s="15"/>
      <c r="HQ149" s="15"/>
      <c r="HR149" s="15"/>
      <c r="HS149" s="15"/>
      <c r="HT149" s="15"/>
      <c r="HU149" s="15"/>
      <c r="HV149" s="15"/>
      <c r="HW149" s="15"/>
      <c r="HX149" s="15"/>
      <c r="HY149" s="15"/>
      <c r="HZ149" s="15"/>
      <c r="IA149" s="15"/>
      <c r="IB149" s="15"/>
      <c r="IC149" s="15"/>
      <c r="ID149" s="15"/>
      <c r="IE149" s="15"/>
      <c r="IF149" s="15"/>
      <c r="IG149" s="15"/>
      <c r="IH149" s="15"/>
      <c r="II149" s="15"/>
      <c r="IJ149" s="15"/>
      <c r="IK149" s="15"/>
      <c r="IL149" s="15"/>
      <c r="IM149" s="15"/>
      <c r="IN149" s="15"/>
      <c r="IO149" s="15"/>
      <c r="IP149" s="15"/>
      <c r="IQ149" s="15"/>
      <c r="IR149" s="15"/>
      <c r="IS149" s="15"/>
      <c r="IT149" s="15"/>
      <c r="IU149" s="16"/>
    </row>
    <row r="150" spans="1:255" ht="17" customHeight="1">
      <c r="A150" s="48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  <c r="DN150" s="15"/>
      <c r="DO150" s="15"/>
      <c r="DP150" s="15"/>
      <c r="DQ150" s="15"/>
      <c r="DR150" s="15"/>
      <c r="DS150" s="15"/>
      <c r="DT150" s="15"/>
      <c r="DU150" s="15"/>
      <c r="DV150" s="15"/>
      <c r="DW150" s="15"/>
      <c r="DX150" s="15"/>
      <c r="DY150" s="15"/>
      <c r="DZ150" s="15"/>
      <c r="EA150" s="15"/>
      <c r="EB150" s="15"/>
      <c r="EC150" s="15"/>
      <c r="ED150" s="15"/>
      <c r="EE150" s="15"/>
      <c r="EF150" s="15"/>
      <c r="EG150" s="15"/>
      <c r="EH150" s="15"/>
      <c r="EI150" s="15"/>
      <c r="EJ150" s="15"/>
      <c r="EK150" s="15"/>
      <c r="EL150" s="15"/>
      <c r="EM150" s="15"/>
      <c r="EN150" s="15"/>
      <c r="EO150" s="15"/>
      <c r="EP150" s="15"/>
      <c r="EQ150" s="15"/>
      <c r="ER150" s="15"/>
      <c r="ES150" s="15"/>
      <c r="ET150" s="15"/>
      <c r="EU150" s="15"/>
      <c r="EV150" s="15"/>
      <c r="EW150" s="15"/>
      <c r="EX150" s="15"/>
      <c r="EY150" s="15"/>
      <c r="EZ150" s="15"/>
      <c r="FA150" s="15"/>
      <c r="FB150" s="15"/>
      <c r="FC150" s="15"/>
      <c r="FD150" s="15"/>
      <c r="FE150" s="15"/>
      <c r="FF150" s="15"/>
      <c r="FG150" s="15"/>
      <c r="FH150" s="15"/>
      <c r="FI150" s="15"/>
      <c r="FJ150" s="15"/>
      <c r="FK150" s="15"/>
      <c r="FL150" s="15"/>
      <c r="FM150" s="15"/>
      <c r="FN150" s="15"/>
      <c r="FO150" s="15"/>
      <c r="FP150" s="15"/>
      <c r="FQ150" s="15"/>
      <c r="FR150" s="15"/>
      <c r="FS150" s="15"/>
      <c r="FT150" s="15"/>
      <c r="FU150" s="15"/>
      <c r="FV150" s="15"/>
      <c r="FW150" s="15"/>
      <c r="FX150" s="15"/>
      <c r="FY150" s="15"/>
      <c r="FZ150" s="15"/>
      <c r="GA150" s="15"/>
      <c r="GB150" s="15"/>
      <c r="GC150" s="15"/>
      <c r="GD150" s="15"/>
      <c r="GE150" s="15"/>
      <c r="GF150" s="15"/>
      <c r="GG150" s="15"/>
      <c r="GH150" s="15"/>
      <c r="GI150" s="15"/>
      <c r="GJ150" s="15"/>
      <c r="GK150" s="15"/>
      <c r="GL150" s="15"/>
      <c r="GM150" s="15"/>
      <c r="GN150" s="15"/>
      <c r="GO150" s="15"/>
      <c r="GP150" s="15"/>
      <c r="GQ150" s="15"/>
      <c r="GR150" s="15"/>
      <c r="GS150" s="15"/>
      <c r="GT150" s="15"/>
      <c r="GU150" s="15"/>
      <c r="GV150" s="15"/>
      <c r="GW150" s="15"/>
      <c r="GX150" s="15"/>
      <c r="GY150" s="15"/>
      <c r="GZ150" s="15"/>
      <c r="HA150" s="15"/>
      <c r="HB150" s="15"/>
      <c r="HC150" s="15"/>
      <c r="HD150" s="15"/>
      <c r="HE150" s="15"/>
      <c r="HF150" s="15"/>
      <c r="HG150" s="15"/>
      <c r="HH150" s="15"/>
      <c r="HI150" s="15"/>
      <c r="HJ150" s="15"/>
      <c r="HK150" s="15"/>
      <c r="HL150" s="15"/>
      <c r="HM150" s="15"/>
      <c r="HN150" s="15"/>
      <c r="HO150" s="15"/>
      <c r="HP150" s="15"/>
      <c r="HQ150" s="15"/>
      <c r="HR150" s="15"/>
      <c r="HS150" s="15"/>
      <c r="HT150" s="15"/>
      <c r="HU150" s="15"/>
      <c r="HV150" s="15"/>
      <c r="HW150" s="15"/>
      <c r="HX150" s="15"/>
      <c r="HY150" s="15"/>
      <c r="HZ150" s="15"/>
      <c r="IA150" s="15"/>
      <c r="IB150" s="15"/>
      <c r="IC150" s="15"/>
      <c r="ID150" s="15"/>
      <c r="IE150" s="15"/>
      <c r="IF150" s="15"/>
      <c r="IG150" s="15"/>
      <c r="IH150" s="15"/>
      <c r="II150" s="15"/>
      <c r="IJ150" s="15"/>
      <c r="IK150" s="15"/>
      <c r="IL150" s="15"/>
      <c r="IM150" s="15"/>
      <c r="IN150" s="15"/>
      <c r="IO150" s="15"/>
      <c r="IP150" s="15"/>
      <c r="IQ150" s="15"/>
      <c r="IR150" s="15"/>
      <c r="IS150" s="15"/>
      <c r="IT150" s="15"/>
      <c r="IU150" s="16"/>
    </row>
    <row r="151" spans="1:255" ht="17" customHeight="1">
      <c r="A151" s="48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  <c r="DI151" s="15"/>
      <c r="DJ151" s="15"/>
      <c r="DK151" s="15"/>
      <c r="DL151" s="15"/>
      <c r="DM151" s="15"/>
      <c r="DN151" s="15"/>
      <c r="DO151" s="15"/>
      <c r="DP151" s="15"/>
      <c r="DQ151" s="15"/>
      <c r="DR151" s="15"/>
      <c r="DS151" s="15"/>
      <c r="DT151" s="15"/>
      <c r="DU151" s="15"/>
      <c r="DV151" s="15"/>
      <c r="DW151" s="15"/>
      <c r="DX151" s="15"/>
      <c r="DY151" s="15"/>
      <c r="DZ151" s="15"/>
      <c r="EA151" s="15"/>
      <c r="EB151" s="15"/>
      <c r="EC151" s="15"/>
      <c r="ED151" s="15"/>
      <c r="EE151" s="15"/>
      <c r="EF151" s="15"/>
      <c r="EG151" s="15"/>
      <c r="EH151" s="15"/>
      <c r="EI151" s="15"/>
      <c r="EJ151" s="15"/>
      <c r="EK151" s="15"/>
      <c r="EL151" s="15"/>
      <c r="EM151" s="15"/>
      <c r="EN151" s="15"/>
      <c r="EO151" s="15"/>
      <c r="EP151" s="15"/>
      <c r="EQ151" s="15"/>
      <c r="ER151" s="15"/>
      <c r="ES151" s="15"/>
      <c r="ET151" s="15"/>
      <c r="EU151" s="15"/>
      <c r="EV151" s="15"/>
      <c r="EW151" s="15"/>
      <c r="EX151" s="15"/>
      <c r="EY151" s="15"/>
      <c r="EZ151" s="15"/>
      <c r="FA151" s="15"/>
      <c r="FB151" s="15"/>
      <c r="FC151" s="15"/>
      <c r="FD151" s="15"/>
      <c r="FE151" s="15"/>
      <c r="FF151" s="15"/>
      <c r="FG151" s="15"/>
      <c r="FH151" s="15"/>
      <c r="FI151" s="15"/>
      <c r="FJ151" s="15"/>
      <c r="FK151" s="15"/>
      <c r="FL151" s="15"/>
      <c r="FM151" s="15"/>
      <c r="FN151" s="15"/>
      <c r="FO151" s="15"/>
      <c r="FP151" s="15"/>
      <c r="FQ151" s="15"/>
      <c r="FR151" s="15"/>
      <c r="FS151" s="15"/>
      <c r="FT151" s="15"/>
      <c r="FU151" s="15"/>
      <c r="FV151" s="15"/>
      <c r="FW151" s="15"/>
      <c r="FX151" s="15"/>
      <c r="FY151" s="15"/>
      <c r="FZ151" s="15"/>
      <c r="GA151" s="15"/>
      <c r="GB151" s="15"/>
      <c r="GC151" s="15"/>
      <c r="GD151" s="15"/>
      <c r="GE151" s="15"/>
      <c r="GF151" s="15"/>
      <c r="GG151" s="15"/>
      <c r="GH151" s="15"/>
      <c r="GI151" s="15"/>
      <c r="GJ151" s="15"/>
      <c r="GK151" s="15"/>
      <c r="GL151" s="15"/>
      <c r="GM151" s="15"/>
      <c r="GN151" s="15"/>
      <c r="GO151" s="15"/>
      <c r="GP151" s="15"/>
      <c r="GQ151" s="15"/>
      <c r="GR151" s="15"/>
      <c r="GS151" s="15"/>
      <c r="GT151" s="15"/>
      <c r="GU151" s="15"/>
      <c r="GV151" s="15"/>
      <c r="GW151" s="15"/>
      <c r="GX151" s="15"/>
      <c r="GY151" s="15"/>
      <c r="GZ151" s="15"/>
      <c r="HA151" s="15"/>
      <c r="HB151" s="15"/>
      <c r="HC151" s="15"/>
      <c r="HD151" s="15"/>
      <c r="HE151" s="15"/>
      <c r="HF151" s="15"/>
      <c r="HG151" s="15"/>
      <c r="HH151" s="15"/>
      <c r="HI151" s="15"/>
      <c r="HJ151" s="15"/>
      <c r="HK151" s="15"/>
      <c r="HL151" s="15"/>
      <c r="HM151" s="15"/>
      <c r="HN151" s="15"/>
      <c r="HO151" s="15"/>
      <c r="HP151" s="15"/>
      <c r="HQ151" s="15"/>
      <c r="HR151" s="15"/>
      <c r="HS151" s="15"/>
      <c r="HT151" s="15"/>
      <c r="HU151" s="15"/>
      <c r="HV151" s="15"/>
      <c r="HW151" s="15"/>
      <c r="HX151" s="15"/>
      <c r="HY151" s="15"/>
      <c r="HZ151" s="15"/>
      <c r="IA151" s="15"/>
      <c r="IB151" s="15"/>
      <c r="IC151" s="15"/>
      <c r="ID151" s="15"/>
      <c r="IE151" s="15"/>
      <c r="IF151" s="15"/>
      <c r="IG151" s="15"/>
      <c r="IH151" s="15"/>
      <c r="II151" s="15"/>
      <c r="IJ151" s="15"/>
      <c r="IK151" s="15"/>
      <c r="IL151" s="15"/>
      <c r="IM151" s="15"/>
      <c r="IN151" s="15"/>
      <c r="IO151" s="15"/>
      <c r="IP151" s="15"/>
      <c r="IQ151" s="15"/>
      <c r="IR151" s="15"/>
      <c r="IS151" s="15"/>
      <c r="IT151" s="15"/>
      <c r="IU151" s="16"/>
    </row>
    <row r="152" spans="1:255" ht="17" customHeight="1">
      <c r="A152" s="48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  <c r="DJ152" s="15"/>
      <c r="DK152" s="15"/>
      <c r="DL152" s="15"/>
      <c r="DM152" s="15"/>
      <c r="DN152" s="15"/>
      <c r="DO152" s="15"/>
      <c r="DP152" s="15"/>
      <c r="DQ152" s="15"/>
      <c r="DR152" s="15"/>
      <c r="DS152" s="15"/>
      <c r="DT152" s="15"/>
      <c r="DU152" s="15"/>
      <c r="DV152" s="15"/>
      <c r="DW152" s="15"/>
      <c r="DX152" s="15"/>
      <c r="DY152" s="15"/>
      <c r="DZ152" s="15"/>
      <c r="EA152" s="15"/>
      <c r="EB152" s="15"/>
      <c r="EC152" s="15"/>
      <c r="ED152" s="15"/>
      <c r="EE152" s="15"/>
      <c r="EF152" s="15"/>
      <c r="EG152" s="15"/>
      <c r="EH152" s="15"/>
      <c r="EI152" s="15"/>
      <c r="EJ152" s="15"/>
      <c r="EK152" s="15"/>
      <c r="EL152" s="15"/>
      <c r="EM152" s="15"/>
      <c r="EN152" s="15"/>
      <c r="EO152" s="15"/>
      <c r="EP152" s="15"/>
      <c r="EQ152" s="15"/>
      <c r="ER152" s="15"/>
      <c r="ES152" s="15"/>
      <c r="ET152" s="15"/>
      <c r="EU152" s="15"/>
      <c r="EV152" s="15"/>
      <c r="EW152" s="15"/>
      <c r="EX152" s="15"/>
      <c r="EY152" s="15"/>
      <c r="EZ152" s="15"/>
      <c r="FA152" s="15"/>
      <c r="FB152" s="15"/>
      <c r="FC152" s="15"/>
      <c r="FD152" s="15"/>
      <c r="FE152" s="15"/>
      <c r="FF152" s="15"/>
      <c r="FG152" s="15"/>
      <c r="FH152" s="15"/>
      <c r="FI152" s="15"/>
      <c r="FJ152" s="15"/>
      <c r="FK152" s="15"/>
      <c r="FL152" s="15"/>
      <c r="FM152" s="15"/>
      <c r="FN152" s="15"/>
      <c r="FO152" s="15"/>
      <c r="FP152" s="15"/>
      <c r="FQ152" s="15"/>
      <c r="FR152" s="15"/>
      <c r="FS152" s="15"/>
      <c r="FT152" s="15"/>
      <c r="FU152" s="15"/>
      <c r="FV152" s="15"/>
      <c r="FW152" s="15"/>
      <c r="FX152" s="15"/>
      <c r="FY152" s="15"/>
      <c r="FZ152" s="15"/>
      <c r="GA152" s="15"/>
      <c r="GB152" s="15"/>
      <c r="GC152" s="15"/>
      <c r="GD152" s="15"/>
      <c r="GE152" s="15"/>
      <c r="GF152" s="15"/>
      <c r="GG152" s="15"/>
      <c r="GH152" s="15"/>
      <c r="GI152" s="15"/>
      <c r="GJ152" s="15"/>
      <c r="GK152" s="15"/>
      <c r="GL152" s="15"/>
      <c r="GM152" s="15"/>
      <c r="GN152" s="15"/>
      <c r="GO152" s="15"/>
      <c r="GP152" s="15"/>
      <c r="GQ152" s="15"/>
      <c r="GR152" s="15"/>
      <c r="GS152" s="15"/>
      <c r="GT152" s="15"/>
      <c r="GU152" s="15"/>
      <c r="GV152" s="15"/>
      <c r="GW152" s="15"/>
      <c r="GX152" s="15"/>
      <c r="GY152" s="15"/>
      <c r="GZ152" s="15"/>
      <c r="HA152" s="15"/>
      <c r="HB152" s="15"/>
      <c r="HC152" s="15"/>
      <c r="HD152" s="15"/>
      <c r="HE152" s="15"/>
      <c r="HF152" s="15"/>
      <c r="HG152" s="15"/>
      <c r="HH152" s="15"/>
      <c r="HI152" s="15"/>
      <c r="HJ152" s="15"/>
      <c r="HK152" s="15"/>
      <c r="HL152" s="15"/>
      <c r="HM152" s="15"/>
      <c r="HN152" s="15"/>
      <c r="HO152" s="15"/>
      <c r="HP152" s="15"/>
      <c r="HQ152" s="15"/>
      <c r="HR152" s="15"/>
      <c r="HS152" s="15"/>
      <c r="HT152" s="15"/>
      <c r="HU152" s="15"/>
      <c r="HV152" s="15"/>
      <c r="HW152" s="15"/>
      <c r="HX152" s="15"/>
      <c r="HY152" s="15"/>
      <c r="HZ152" s="15"/>
      <c r="IA152" s="15"/>
      <c r="IB152" s="15"/>
      <c r="IC152" s="15"/>
      <c r="ID152" s="15"/>
      <c r="IE152" s="15"/>
      <c r="IF152" s="15"/>
      <c r="IG152" s="15"/>
      <c r="IH152" s="15"/>
      <c r="II152" s="15"/>
      <c r="IJ152" s="15"/>
      <c r="IK152" s="15"/>
      <c r="IL152" s="15"/>
      <c r="IM152" s="15"/>
      <c r="IN152" s="15"/>
      <c r="IO152" s="15"/>
      <c r="IP152" s="15"/>
      <c r="IQ152" s="15"/>
      <c r="IR152" s="15"/>
      <c r="IS152" s="15"/>
      <c r="IT152" s="15"/>
      <c r="IU152" s="16"/>
    </row>
    <row r="153" spans="1:255" ht="17" customHeight="1">
      <c r="A153" s="48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  <c r="DN153" s="15"/>
      <c r="DO153" s="15"/>
      <c r="DP153" s="15"/>
      <c r="DQ153" s="15"/>
      <c r="DR153" s="15"/>
      <c r="DS153" s="15"/>
      <c r="DT153" s="15"/>
      <c r="DU153" s="15"/>
      <c r="DV153" s="15"/>
      <c r="DW153" s="15"/>
      <c r="DX153" s="15"/>
      <c r="DY153" s="15"/>
      <c r="DZ153" s="15"/>
      <c r="EA153" s="15"/>
      <c r="EB153" s="15"/>
      <c r="EC153" s="15"/>
      <c r="ED153" s="15"/>
      <c r="EE153" s="15"/>
      <c r="EF153" s="15"/>
      <c r="EG153" s="15"/>
      <c r="EH153" s="15"/>
      <c r="EI153" s="15"/>
      <c r="EJ153" s="15"/>
      <c r="EK153" s="15"/>
      <c r="EL153" s="15"/>
      <c r="EM153" s="15"/>
      <c r="EN153" s="15"/>
      <c r="EO153" s="15"/>
      <c r="EP153" s="15"/>
      <c r="EQ153" s="15"/>
      <c r="ER153" s="15"/>
      <c r="ES153" s="15"/>
      <c r="ET153" s="15"/>
      <c r="EU153" s="15"/>
      <c r="EV153" s="15"/>
      <c r="EW153" s="15"/>
      <c r="EX153" s="15"/>
      <c r="EY153" s="15"/>
      <c r="EZ153" s="15"/>
      <c r="FA153" s="15"/>
      <c r="FB153" s="15"/>
      <c r="FC153" s="15"/>
      <c r="FD153" s="15"/>
      <c r="FE153" s="15"/>
      <c r="FF153" s="15"/>
      <c r="FG153" s="15"/>
      <c r="FH153" s="15"/>
      <c r="FI153" s="15"/>
      <c r="FJ153" s="15"/>
      <c r="FK153" s="15"/>
      <c r="FL153" s="15"/>
      <c r="FM153" s="15"/>
      <c r="FN153" s="15"/>
      <c r="FO153" s="15"/>
      <c r="FP153" s="15"/>
      <c r="FQ153" s="15"/>
      <c r="FR153" s="15"/>
      <c r="FS153" s="15"/>
      <c r="FT153" s="15"/>
      <c r="FU153" s="15"/>
      <c r="FV153" s="15"/>
      <c r="FW153" s="15"/>
      <c r="FX153" s="15"/>
      <c r="FY153" s="15"/>
      <c r="FZ153" s="15"/>
      <c r="GA153" s="15"/>
      <c r="GB153" s="15"/>
      <c r="GC153" s="15"/>
      <c r="GD153" s="15"/>
      <c r="GE153" s="15"/>
      <c r="GF153" s="15"/>
      <c r="GG153" s="15"/>
      <c r="GH153" s="15"/>
      <c r="GI153" s="15"/>
      <c r="GJ153" s="15"/>
      <c r="GK153" s="15"/>
      <c r="GL153" s="15"/>
      <c r="GM153" s="15"/>
      <c r="GN153" s="15"/>
      <c r="GO153" s="15"/>
      <c r="GP153" s="15"/>
      <c r="GQ153" s="15"/>
      <c r="GR153" s="15"/>
      <c r="GS153" s="15"/>
      <c r="GT153" s="15"/>
      <c r="GU153" s="15"/>
      <c r="GV153" s="15"/>
      <c r="GW153" s="15"/>
      <c r="GX153" s="15"/>
      <c r="GY153" s="15"/>
      <c r="GZ153" s="15"/>
      <c r="HA153" s="15"/>
      <c r="HB153" s="15"/>
      <c r="HC153" s="15"/>
      <c r="HD153" s="15"/>
      <c r="HE153" s="15"/>
      <c r="HF153" s="15"/>
      <c r="HG153" s="15"/>
      <c r="HH153" s="15"/>
      <c r="HI153" s="15"/>
      <c r="HJ153" s="15"/>
      <c r="HK153" s="15"/>
      <c r="HL153" s="15"/>
      <c r="HM153" s="15"/>
      <c r="HN153" s="15"/>
      <c r="HO153" s="15"/>
      <c r="HP153" s="15"/>
      <c r="HQ153" s="15"/>
      <c r="HR153" s="15"/>
      <c r="HS153" s="15"/>
      <c r="HT153" s="15"/>
      <c r="HU153" s="15"/>
      <c r="HV153" s="15"/>
      <c r="HW153" s="15"/>
      <c r="HX153" s="15"/>
      <c r="HY153" s="15"/>
      <c r="HZ153" s="15"/>
      <c r="IA153" s="15"/>
      <c r="IB153" s="15"/>
      <c r="IC153" s="15"/>
      <c r="ID153" s="15"/>
      <c r="IE153" s="15"/>
      <c r="IF153" s="15"/>
      <c r="IG153" s="15"/>
      <c r="IH153" s="15"/>
      <c r="II153" s="15"/>
      <c r="IJ153" s="15"/>
      <c r="IK153" s="15"/>
      <c r="IL153" s="15"/>
      <c r="IM153" s="15"/>
      <c r="IN153" s="15"/>
      <c r="IO153" s="15"/>
      <c r="IP153" s="15"/>
      <c r="IQ153" s="15"/>
      <c r="IR153" s="15"/>
      <c r="IS153" s="15"/>
      <c r="IT153" s="15"/>
      <c r="IU153" s="16"/>
    </row>
    <row r="154" spans="1:255" ht="17" customHeight="1">
      <c r="A154" s="48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  <c r="DJ154" s="15"/>
      <c r="DK154" s="15"/>
      <c r="DL154" s="15"/>
      <c r="DM154" s="15"/>
      <c r="DN154" s="15"/>
      <c r="DO154" s="15"/>
      <c r="DP154" s="15"/>
      <c r="DQ154" s="15"/>
      <c r="DR154" s="15"/>
      <c r="DS154" s="15"/>
      <c r="DT154" s="15"/>
      <c r="DU154" s="15"/>
      <c r="DV154" s="15"/>
      <c r="DW154" s="15"/>
      <c r="DX154" s="15"/>
      <c r="DY154" s="15"/>
      <c r="DZ154" s="15"/>
      <c r="EA154" s="15"/>
      <c r="EB154" s="15"/>
      <c r="EC154" s="15"/>
      <c r="ED154" s="15"/>
      <c r="EE154" s="15"/>
      <c r="EF154" s="15"/>
      <c r="EG154" s="15"/>
      <c r="EH154" s="15"/>
      <c r="EI154" s="15"/>
      <c r="EJ154" s="15"/>
      <c r="EK154" s="15"/>
      <c r="EL154" s="15"/>
      <c r="EM154" s="15"/>
      <c r="EN154" s="15"/>
      <c r="EO154" s="15"/>
      <c r="EP154" s="15"/>
      <c r="EQ154" s="15"/>
      <c r="ER154" s="15"/>
      <c r="ES154" s="15"/>
      <c r="ET154" s="15"/>
      <c r="EU154" s="15"/>
      <c r="EV154" s="15"/>
      <c r="EW154" s="15"/>
      <c r="EX154" s="15"/>
      <c r="EY154" s="15"/>
      <c r="EZ154" s="15"/>
      <c r="FA154" s="15"/>
      <c r="FB154" s="15"/>
      <c r="FC154" s="15"/>
      <c r="FD154" s="15"/>
      <c r="FE154" s="15"/>
      <c r="FF154" s="15"/>
      <c r="FG154" s="15"/>
      <c r="FH154" s="15"/>
      <c r="FI154" s="15"/>
      <c r="FJ154" s="15"/>
      <c r="FK154" s="15"/>
      <c r="FL154" s="15"/>
      <c r="FM154" s="15"/>
      <c r="FN154" s="15"/>
      <c r="FO154" s="15"/>
      <c r="FP154" s="15"/>
      <c r="FQ154" s="15"/>
      <c r="FR154" s="15"/>
      <c r="FS154" s="15"/>
      <c r="FT154" s="15"/>
      <c r="FU154" s="15"/>
      <c r="FV154" s="15"/>
      <c r="FW154" s="15"/>
      <c r="FX154" s="15"/>
      <c r="FY154" s="15"/>
      <c r="FZ154" s="15"/>
      <c r="GA154" s="15"/>
      <c r="GB154" s="15"/>
      <c r="GC154" s="15"/>
      <c r="GD154" s="15"/>
      <c r="GE154" s="15"/>
      <c r="GF154" s="15"/>
      <c r="GG154" s="15"/>
      <c r="GH154" s="15"/>
      <c r="GI154" s="15"/>
      <c r="GJ154" s="15"/>
      <c r="GK154" s="15"/>
      <c r="GL154" s="15"/>
      <c r="GM154" s="15"/>
      <c r="GN154" s="15"/>
      <c r="GO154" s="15"/>
      <c r="GP154" s="15"/>
      <c r="GQ154" s="15"/>
      <c r="GR154" s="15"/>
      <c r="GS154" s="15"/>
      <c r="GT154" s="15"/>
      <c r="GU154" s="15"/>
      <c r="GV154" s="15"/>
      <c r="GW154" s="15"/>
      <c r="GX154" s="15"/>
      <c r="GY154" s="15"/>
      <c r="GZ154" s="15"/>
      <c r="HA154" s="15"/>
      <c r="HB154" s="15"/>
      <c r="HC154" s="15"/>
      <c r="HD154" s="15"/>
      <c r="HE154" s="15"/>
      <c r="HF154" s="15"/>
      <c r="HG154" s="15"/>
      <c r="HH154" s="15"/>
      <c r="HI154" s="15"/>
      <c r="HJ154" s="15"/>
      <c r="HK154" s="15"/>
      <c r="HL154" s="15"/>
      <c r="HM154" s="15"/>
      <c r="HN154" s="15"/>
      <c r="HO154" s="15"/>
      <c r="HP154" s="15"/>
      <c r="HQ154" s="15"/>
      <c r="HR154" s="15"/>
      <c r="HS154" s="15"/>
      <c r="HT154" s="15"/>
      <c r="HU154" s="15"/>
      <c r="HV154" s="15"/>
      <c r="HW154" s="15"/>
      <c r="HX154" s="15"/>
      <c r="HY154" s="15"/>
      <c r="HZ154" s="15"/>
      <c r="IA154" s="15"/>
      <c r="IB154" s="15"/>
      <c r="IC154" s="15"/>
      <c r="ID154" s="15"/>
      <c r="IE154" s="15"/>
      <c r="IF154" s="15"/>
      <c r="IG154" s="15"/>
      <c r="IH154" s="15"/>
      <c r="II154" s="15"/>
      <c r="IJ154" s="15"/>
      <c r="IK154" s="15"/>
      <c r="IL154" s="15"/>
      <c r="IM154" s="15"/>
      <c r="IN154" s="15"/>
      <c r="IO154" s="15"/>
      <c r="IP154" s="15"/>
      <c r="IQ154" s="15"/>
      <c r="IR154" s="15"/>
      <c r="IS154" s="15"/>
      <c r="IT154" s="15"/>
      <c r="IU154" s="16"/>
    </row>
    <row r="155" spans="1:255" ht="17" customHeight="1">
      <c r="A155" s="48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  <c r="DN155" s="15"/>
      <c r="DO155" s="15"/>
      <c r="DP155" s="15"/>
      <c r="DQ155" s="15"/>
      <c r="DR155" s="15"/>
      <c r="DS155" s="15"/>
      <c r="DT155" s="15"/>
      <c r="DU155" s="15"/>
      <c r="DV155" s="15"/>
      <c r="DW155" s="15"/>
      <c r="DX155" s="15"/>
      <c r="DY155" s="15"/>
      <c r="DZ155" s="15"/>
      <c r="EA155" s="15"/>
      <c r="EB155" s="15"/>
      <c r="EC155" s="15"/>
      <c r="ED155" s="15"/>
      <c r="EE155" s="15"/>
      <c r="EF155" s="15"/>
      <c r="EG155" s="15"/>
      <c r="EH155" s="15"/>
      <c r="EI155" s="15"/>
      <c r="EJ155" s="15"/>
      <c r="EK155" s="15"/>
      <c r="EL155" s="15"/>
      <c r="EM155" s="15"/>
      <c r="EN155" s="15"/>
      <c r="EO155" s="15"/>
      <c r="EP155" s="15"/>
      <c r="EQ155" s="15"/>
      <c r="ER155" s="15"/>
      <c r="ES155" s="15"/>
      <c r="ET155" s="15"/>
      <c r="EU155" s="15"/>
      <c r="EV155" s="15"/>
      <c r="EW155" s="15"/>
      <c r="EX155" s="15"/>
      <c r="EY155" s="15"/>
      <c r="EZ155" s="15"/>
      <c r="FA155" s="15"/>
      <c r="FB155" s="15"/>
      <c r="FC155" s="15"/>
      <c r="FD155" s="15"/>
      <c r="FE155" s="15"/>
      <c r="FF155" s="15"/>
      <c r="FG155" s="15"/>
      <c r="FH155" s="15"/>
      <c r="FI155" s="15"/>
      <c r="FJ155" s="15"/>
      <c r="FK155" s="15"/>
      <c r="FL155" s="15"/>
      <c r="FM155" s="15"/>
      <c r="FN155" s="15"/>
      <c r="FO155" s="15"/>
      <c r="FP155" s="15"/>
      <c r="FQ155" s="15"/>
      <c r="FR155" s="15"/>
      <c r="FS155" s="15"/>
      <c r="FT155" s="15"/>
      <c r="FU155" s="15"/>
      <c r="FV155" s="15"/>
      <c r="FW155" s="15"/>
      <c r="FX155" s="15"/>
      <c r="FY155" s="15"/>
      <c r="FZ155" s="15"/>
      <c r="GA155" s="15"/>
      <c r="GB155" s="15"/>
      <c r="GC155" s="15"/>
      <c r="GD155" s="15"/>
      <c r="GE155" s="15"/>
      <c r="GF155" s="15"/>
      <c r="GG155" s="15"/>
      <c r="GH155" s="15"/>
      <c r="GI155" s="15"/>
      <c r="GJ155" s="15"/>
      <c r="GK155" s="15"/>
      <c r="GL155" s="15"/>
      <c r="GM155" s="15"/>
      <c r="GN155" s="15"/>
      <c r="GO155" s="15"/>
      <c r="GP155" s="15"/>
      <c r="GQ155" s="15"/>
      <c r="GR155" s="15"/>
      <c r="GS155" s="15"/>
      <c r="GT155" s="15"/>
      <c r="GU155" s="15"/>
      <c r="GV155" s="15"/>
      <c r="GW155" s="15"/>
      <c r="GX155" s="15"/>
      <c r="GY155" s="15"/>
      <c r="GZ155" s="15"/>
      <c r="HA155" s="15"/>
      <c r="HB155" s="15"/>
      <c r="HC155" s="15"/>
      <c r="HD155" s="15"/>
      <c r="HE155" s="15"/>
      <c r="HF155" s="15"/>
      <c r="HG155" s="15"/>
      <c r="HH155" s="15"/>
      <c r="HI155" s="15"/>
      <c r="HJ155" s="15"/>
      <c r="HK155" s="15"/>
      <c r="HL155" s="15"/>
      <c r="HM155" s="15"/>
      <c r="HN155" s="15"/>
      <c r="HO155" s="15"/>
      <c r="HP155" s="15"/>
      <c r="HQ155" s="15"/>
      <c r="HR155" s="15"/>
      <c r="HS155" s="15"/>
      <c r="HT155" s="15"/>
      <c r="HU155" s="15"/>
      <c r="HV155" s="15"/>
      <c r="HW155" s="15"/>
      <c r="HX155" s="15"/>
      <c r="HY155" s="15"/>
      <c r="HZ155" s="15"/>
      <c r="IA155" s="15"/>
      <c r="IB155" s="15"/>
      <c r="IC155" s="15"/>
      <c r="ID155" s="15"/>
      <c r="IE155" s="15"/>
      <c r="IF155" s="15"/>
      <c r="IG155" s="15"/>
      <c r="IH155" s="15"/>
      <c r="II155" s="15"/>
      <c r="IJ155" s="15"/>
      <c r="IK155" s="15"/>
      <c r="IL155" s="15"/>
      <c r="IM155" s="15"/>
      <c r="IN155" s="15"/>
      <c r="IO155" s="15"/>
      <c r="IP155" s="15"/>
      <c r="IQ155" s="15"/>
      <c r="IR155" s="15"/>
      <c r="IS155" s="15"/>
      <c r="IT155" s="15"/>
      <c r="IU155" s="16"/>
    </row>
    <row r="156" spans="1:255" ht="17" customHeight="1">
      <c r="A156" s="48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  <c r="DJ156" s="15"/>
      <c r="DK156" s="15"/>
      <c r="DL156" s="15"/>
      <c r="DM156" s="15"/>
      <c r="DN156" s="15"/>
      <c r="DO156" s="15"/>
      <c r="DP156" s="15"/>
      <c r="DQ156" s="15"/>
      <c r="DR156" s="15"/>
      <c r="DS156" s="15"/>
      <c r="DT156" s="15"/>
      <c r="DU156" s="15"/>
      <c r="DV156" s="15"/>
      <c r="DW156" s="15"/>
      <c r="DX156" s="15"/>
      <c r="DY156" s="15"/>
      <c r="DZ156" s="15"/>
      <c r="EA156" s="15"/>
      <c r="EB156" s="15"/>
      <c r="EC156" s="15"/>
      <c r="ED156" s="15"/>
      <c r="EE156" s="15"/>
      <c r="EF156" s="15"/>
      <c r="EG156" s="15"/>
      <c r="EH156" s="15"/>
      <c r="EI156" s="15"/>
      <c r="EJ156" s="15"/>
      <c r="EK156" s="15"/>
      <c r="EL156" s="15"/>
      <c r="EM156" s="15"/>
      <c r="EN156" s="15"/>
      <c r="EO156" s="15"/>
      <c r="EP156" s="15"/>
      <c r="EQ156" s="15"/>
      <c r="ER156" s="15"/>
      <c r="ES156" s="15"/>
      <c r="ET156" s="15"/>
      <c r="EU156" s="15"/>
      <c r="EV156" s="15"/>
      <c r="EW156" s="15"/>
      <c r="EX156" s="15"/>
      <c r="EY156" s="15"/>
      <c r="EZ156" s="15"/>
      <c r="FA156" s="15"/>
      <c r="FB156" s="15"/>
      <c r="FC156" s="15"/>
      <c r="FD156" s="15"/>
      <c r="FE156" s="15"/>
      <c r="FF156" s="15"/>
      <c r="FG156" s="15"/>
      <c r="FH156" s="15"/>
      <c r="FI156" s="15"/>
      <c r="FJ156" s="15"/>
      <c r="FK156" s="15"/>
      <c r="FL156" s="15"/>
      <c r="FM156" s="15"/>
      <c r="FN156" s="15"/>
      <c r="FO156" s="15"/>
      <c r="FP156" s="15"/>
      <c r="FQ156" s="15"/>
      <c r="FR156" s="15"/>
      <c r="FS156" s="15"/>
      <c r="FT156" s="15"/>
      <c r="FU156" s="15"/>
      <c r="FV156" s="15"/>
      <c r="FW156" s="15"/>
      <c r="FX156" s="15"/>
      <c r="FY156" s="15"/>
      <c r="FZ156" s="15"/>
      <c r="GA156" s="15"/>
      <c r="GB156" s="15"/>
      <c r="GC156" s="15"/>
      <c r="GD156" s="15"/>
      <c r="GE156" s="15"/>
      <c r="GF156" s="15"/>
      <c r="GG156" s="15"/>
      <c r="GH156" s="15"/>
      <c r="GI156" s="15"/>
      <c r="GJ156" s="15"/>
      <c r="GK156" s="15"/>
      <c r="GL156" s="15"/>
      <c r="GM156" s="15"/>
      <c r="GN156" s="15"/>
      <c r="GO156" s="15"/>
      <c r="GP156" s="15"/>
      <c r="GQ156" s="15"/>
      <c r="GR156" s="15"/>
      <c r="GS156" s="15"/>
      <c r="GT156" s="15"/>
      <c r="GU156" s="15"/>
      <c r="GV156" s="15"/>
      <c r="GW156" s="15"/>
      <c r="GX156" s="15"/>
      <c r="GY156" s="15"/>
      <c r="GZ156" s="15"/>
      <c r="HA156" s="15"/>
      <c r="HB156" s="15"/>
      <c r="HC156" s="15"/>
      <c r="HD156" s="15"/>
      <c r="HE156" s="15"/>
      <c r="HF156" s="15"/>
      <c r="HG156" s="15"/>
      <c r="HH156" s="15"/>
      <c r="HI156" s="15"/>
      <c r="HJ156" s="15"/>
      <c r="HK156" s="15"/>
      <c r="HL156" s="15"/>
      <c r="HM156" s="15"/>
      <c r="HN156" s="15"/>
      <c r="HO156" s="15"/>
      <c r="HP156" s="15"/>
      <c r="HQ156" s="15"/>
      <c r="HR156" s="15"/>
      <c r="HS156" s="15"/>
      <c r="HT156" s="15"/>
      <c r="HU156" s="15"/>
      <c r="HV156" s="15"/>
      <c r="HW156" s="15"/>
      <c r="HX156" s="15"/>
      <c r="HY156" s="15"/>
      <c r="HZ156" s="15"/>
      <c r="IA156" s="15"/>
      <c r="IB156" s="15"/>
      <c r="IC156" s="15"/>
      <c r="ID156" s="15"/>
      <c r="IE156" s="15"/>
      <c r="IF156" s="15"/>
      <c r="IG156" s="15"/>
      <c r="IH156" s="15"/>
      <c r="II156" s="15"/>
      <c r="IJ156" s="15"/>
      <c r="IK156" s="15"/>
      <c r="IL156" s="15"/>
      <c r="IM156" s="15"/>
      <c r="IN156" s="15"/>
      <c r="IO156" s="15"/>
      <c r="IP156" s="15"/>
      <c r="IQ156" s="15"/>
      <c r="IR156" s="15"/>
      <c r="IS156" s="15"/>
      <c r="IT156" s="15"/>
      <c r="IU156" s="16"/>
    </row>
    <row r="157" spans="1:255" ht="17" customHeight="1">
      <c r="A157" s="48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/>
      <c r="ER157" s="15"/>
      <c r="ES157" s="15"/>
      <c r="ET157" s="15"/>
      <c r="EU157" s="15"/>
      <c r="EV157" s="15"/>
      <c r="EW157" s="15"/>
      <c r="EX157" s="15"/>
      <c r="EY157" s="15"/>
      <c r="EZ157" s="15"/>
      <c r="FA157" s="15"/>
      <c r="FB157" s="15"/>
      <c r="FC157" s="15"/>
      <c r="FD157" s="15"/>
      <c r="FE157" s="15"/>
      <c r="FF157" s="15"/>
      <c r="FG157" s="15"/>
      <c r="FH157" s="15"/>
      <c r="FI157" s="15"/>
      <c r="FJ157" s="15"/>
      <c r="FK157" s="15"/>
      <c r="FL157" s="15"/>
      <c r="FM157" s="15"/>
      <c r="FN157" s="15"/>
      <c r="FO157" s="15"/>
      <c r="FP157" s="15"/>
      <c r="FQ157" s="15"/>
      <c r="FR157" s="15"/>
      <c r="FS157" s="15"/>
      <c r="FT157" s="15"/>
      <c r="FU157" s="15"/>
      <c r="FV157" s="15"/>
      <c r="FW157" s="15"/>
      <c r="FX157" s="15"/>
      <c r="FY157" s="15"/>
      <c r="FZ157" s="15"/>
      <c r="GA157" s="15"/>
      <c r="GB157" s="15"/>
      <c r="GC157" s="15"/>
      <c r="GD157" s="15"/>
      <c r="GE157" s="15"/>
      <c r="GF157" s="15"/>
      <c r="GG157" s="15"/>
      <c r="GH157" s="15"/>
      <c r="GI157" s="15"/>
      <c r="GJ157" s="15"/>
      <c r="GK157" s="15"/>
      <c r="GL157" s="15"/>
      <c r="GM157" s="15"/>
      <c r="GN157" s="15"/>
      <c r="GO157" s="15"/>
      <c r="GP157" s="15"/>
      <c r="GQ157" s="15"/>
      <c r="GR157" s="15"/>
      <c r="GS157" s="15"/>
      <c r="GT157" s="15"/>
      <c r="GU157" s="15"/>
      <c r="GV157" s="15"/>
      <c r="GW157" s="15"/>
      <c r="GX157" s="15"/>
      <c r="GY157" s="15"/>
      <c r="GZ157" s="15"/>
      <c r="HA157" s="15"/>
      <c r="HB157" s="15"/>
      <c r="HC157" s="15"/>
      <c r="HD157" s="15"/>
      <c r="HE157" s="15"/>
      <c r="HF157" s="15"/>
      <c r="HG157" s="15"/>
      <c r="HH157" s="15"/>
      <c r="HI157" s="15"/>
      <c r="HJ157" s="15"/>
      <c r="HK157" s="15"/>
      <c r="HL157" s="15"/>
      <c r="HM157" s="15"/>
      <c r="HN157" s="15"/>
      <c r="HO157" s="15"/>
      <c r="HP157" s="15"/>
      <c r="HQ157" s="15"/>
      <c r="HR157" s="15"/>
      <c r="HS157" s="15"/>
      <c r="HT157" s="15"/>
      <c r="HU157" s="15"/>
      <c r="HV157" s="15"/>
      <c r="HW157" s="15"/>
      <c r="HX157" s="15"/>
      <c r="HY157" s="15"/>
      <c r="HZ157" s="15"/>
      <c r="IA157" s="15"/>
      <c r="IB157" s="15"/>
      <c r="IC157" s="15"/>
      <c r="ID157" s="15"/>
      <c r="IE157" s="15"/>
      <c r="IF157" s="15"/>
      <c r="IG157" s="15"/>
      <c r="IH157" s="15"/>
      <c r="II157" s="15"/>
      <c r="IJ157" s="15"/>
      <c r="IK157" s="15"/>
      <c r="IL157" s="15"/>
      <c r="IM157" s="15"/>
      <c r="IN157" s="15"/>
      <c r="IO157" s="15"/>
      <c r="IP157" s="15"/>
      <c r="IQ157" s="15"/>
      <c r="IR157" s="15"/>
      <c r="IS157" s="15"/>
      <c r="IT157" s="15"/>
      <c r="IU157" s="16"/>
    </row>
    <row r="158" spans="1:255" ht="17" customHeight="1">
      <c r="A158" s="48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  <c r="DL158" s="15"/>
      <c r="DM158" s="15"/>
      <c r="DN158" s="15"/>
      <c r="DO158" s="15"/>
      <c r="DP158" s="15"/>
      <c r="DQ158" s="15"/>
      <c r="DR158" s="15"/>
      <c r="DS158" s="15"/>
      <c r="DT158" s="15"/>
      <c r="DU158" s="15"/>
      <c r="DV158" s="15"/>
      <c r="DW158" s="15"/>
      <c r="DX158" s="15"/>
      <c r="DY158" s="15"/>
      <c r="DZ158" s="15"/>
      <c r="EA158" s="15"/>
      <c r="EB158" s="15"/>
      <c r="EC158" s="15"/>
      <c r="ED158" s="15"/>
      <c r="EE158" s="15"/>
      <c r="EF158" s="15"/>
      <c r="EG158" s="15"/>
      <c r="EH158" s="15"/>
      <c r="EI158" s="15"/>
      <c r="EJ158" s="15"/>
      <c r="EK158" s="15"/>
      <c r="EL158" s="15"/>
      <c r="EM158" s="15"/>
      <c r="EN158" s="15"/>
      <c r="EO158" s="15"/>
      <c r="EP158" s="15"/>
      <c r="EQ158" s="15"/>
      <c r="ER158" s="15"/>
      <c r="ES158" s="15"/>
      <c r="ET158" s="15"/>
      <c r="EU158" s="15"/>
      <c r="EV158" s="15"/>
      <c r="EW158" s="15"/>
      <c r="EX158" s="15"/>
      <c r="EY158" s="15"/>
      <c r="EZ158" s="15"/>
      <c r="FA158" s="15"/>
      <c r="FB158" s="15"/>
      <c r="FC158" s="15"/>
      <c r="FD158" s="15"/>
      <c r="FE158" s="15"/>
      <c r="FF158" s="15"/>
      <c r="FG158" s="15"/>
      <c r="FH158" s="15"/>
      <c r="FI158" s="15"/>
      <c r="FJ158" s="15"/>
      <c r="FK158" s="15"/>
      <c r="FL158" s="15"/>
      <c r="FM158" s="15"/>
      <c r="FN158" s="15"/>
      <c r="FO158" s="15"/>
      <c r="FP158" s="15"/>
      <c r="FQ158" s="15"/>
      <c r="FR158" s="15"/>
      <c r="FS158" s="15"/>
      <c r="FT158" s="15"/>
      <c r="FU158" s="15"/>
      <c r="FV158" s="15"/>
      <c r="FW158" s="15"/>
      <c r="FX158" s="15"/>
      <c r="FY158" s="15"/>
      <c r="FZ158" s="15"/>
      <c r="GA158" s="15"/>
      <c r="GB158" s="15"/>
      <c r="GC158" s="15"/>
      <c r="GD158" s="15"/>
      <c r="GE158" s="15"/>
      <c r="GF158" s="15"/>
      <c r="GG158" s="15"/>
      <c r="GH158" s="15"/>
      <c r="GI158" s="15"/>
      <c r="GJ158" s="15"/>
      <c r="GK158" s="15"/>
      <c r="GL158" s="15"/>
      <c r="GM158" s="15"/>
      <c r="GN158" s="15"/>
      <c r="GO158" s="15"/>
      <c r="GP158" s="15"/>
      <c r="GQ158" s="15"/>
      <c r="GR158" s="15"/>
      <c r="GS158" s="15"/>
      <c r="GT158" s="15"/>
      <c r="GU158" s="15"/>
      <c r="GV158" s="15"/>
      <c r="GW158" s="15"/>
      <c r="GX158" s="15"/>
      <c r="GY158" s="15"/>
      <c r="GZ158" s="15"/>
      <c r="HA158" s="15"/>
      <c r="HB158" s="15"/>
      <c r="HC158" s="15"/>
      <c r="HD158" s="15"/>
      <c r="HE158" s="15"/>
      <c r="HF158" s="15"/>
      <c r="HG158" s="15"/>
      <c r="HH158" s="15"/>
      <c r="HI158" s="15"/>
      <c r="HJ158" s="15"/>
      <c r="HK158" s="15"/>
      <c r="HL158" s="15"/>
      <c r="HM158" s="15"/>
      <c r="HN158" s="15"/>
      <c r="HO158" s="15"/>
      <c r="HP158" s="15"/>
      <c r="HQ158" s="15"/>
      <c r="HR158" s="15"/>
      <c r="HS158" s="15"/>
      <c r="HT158" s="15"/>
      <c r="HU158" s="15"/>
      <c r="HV158" s="15"/>
      <c r="HW158" s="15"/>
      <c r="HX158" s="15"/>
      <c r="HY158" s="15"/>
      <c r="HZ158" s="15"/>
      <c r="IA158" s="15"/>
      <c r="IB158" s="15"/>
      <c r="IC158" s="15"/>
      <c r="ID158" s="15"/>
      <c r="IE158" s="15"/>
      <c r="IF158" s="15"/>
      <c r="IG158" s="15"/>
      <c r="IH158" s="15"/>
      <c r="II158" s="15"/>
      <c r="IJ158" s="15"/>
      <c r="IK158" s="15"/>
      <c r="IL158" s="15"/>
      <c r="IM158" s="15"/>
      <c r="IN158" s="15"/>
      <c r="IO158" s="15"/>
      <c r="IP158" s="15"/>
      <c r="IQ158" s="15"/>
      <c r="IR158" s="15"/>
      <c r="IS158" s="15"/>
      <c r="IT158" s="15"/>
      <c r="IU158" s="16"/>
    </row>
    <row r="159" spans="1:255" ht="17" customHeight="1">
      <c r="A159" s="48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  <c r="DN159" s="15"/>
      <c r="DO159" s="15"/>
      <c r="DP159" s="15"/>
      <c r="DQ159" s="15"/>
      <c r="DR159" s="15"/>
      <c r="DS159" s="15"/>
      <c r="DT159" s="15"/>
      <c r="DU159" s="15"/>
      <c r="DV159" s="15"/>
      <c r="DW159" s="15"/>
      <c r="DX159" s="15"/>
      <c r="DY159" s="15"/>
      <c r="DZ159" s="15"/>
      <c r="EA159" s="15"/>
      <c r="EB159" s="15"/>
      <c r="EC159" s="15"/>
      <c r="ED159" s="15"/>
      <c r="EE159" s="15"/>
      <c r="EF159" s="15"/>
      <c r="EG159" s="15"/>
      <c r="EH159" s="15"/>
      <c r="EI159" s="15"/>
      <c r="EJ159" s="15"/>
      <c r="EK159" s="15"/>
      <c r="EL159" s="15"/>
      <c r="EM159" s="15"/>
      <c r="EN159" s="15"/>
      <c r="EO159" s="15"/>
      <c r="EP159" s="15"/>
      <c r="EQ159" s="15"/>
      <c r="ER159" s="15"/>
      <c r="ES159" s="15"/>
      <c r="ET159" s="15"/>
      <c r="EU159" s="15"/>
      <c r="EV159" s="15"/>
      <c r="EW159" s="15"/>
      <c r="EX159" s="15"/>
      <c r="EY159" s="15"/>
      <c r="EZ159" s="15"/>
      <c r="FA159" s="15"/>
      <c r="FB159" s="15"/>
      <c r="FC159" s="15"/>
      <c r="FD159" s="15"/>
      <c r="FE159" s="15"/>
      <c r="FF159" s="15"/>
      <c r="FG159" s="15"/>
      <c r="FH159" s="15"/>
      <c r="FI159" s="15"/>
      <c r="FJ159" s="15"/>
      <c r="FK159" s="15"/>
      <c r="FL159" s="15"/>
      <c r="FM159" s="15"/>
      <c r="FN159" s="15"/>
      <c r="FO159" s="15"/>
      <c r="FP159" s="15"/>
      <c r="FQ159" s="15"/>
      <c r="FR159" s="15"/>
      <c r="FS159" s="15"/>
      <c r="FT159" s="15"/>
      <c r="FU159" s="15"/>
      <c r="FV159" s="15"/>
      <c r="FW159" s="15"/>
      <c r="FX159" s="15"/>
      <c r="FY159" s="15"/>
      <c r="FZ159" s="15"/>
      <c r="GA159" s="15"/>
      <c r="GB159" s="15"/>
      <c r="GC159" s="15"/>
      <c r="GD159" s="15"/>
      <c r="GE159" s="15"/>
      <c r="GF159" s="15"/>
      <c r="GG159" s="15"/>
      <c r="GH159" s="15"/>
      <c r="GI159" s="15"/>
      <c r="GJ159" s="15"/>
      <c r="GK159" s="15"/>
      <c r="GL159" s="15"/>
      <c r="GM159" s="15"/>
      <c r="GN159" s="15"/>
      <c r="GO159" s="15"/>
      <c r="GP159" s="15"/>
      <c r="GQ159" s="15"/>
      <c r="GR159" s="15"/>
      <c r="GS159" s="15"/>
      <c r="GT159" s="15"/>
      <c r="GU159" s="15"/>
      <c r="GV159" s="15"/>
      <c r="GW159" s="15"/>
      <c r="GX159" s="15"/>
      <c r="GY159" s="15"/>
      <c r="GZ159" s="15"/>
      <c r="HA159" s="15"/>
      <c r="HB159" s="15"/>
      <c r="HC159" s="15"/>
      <c r="HD159" s="15"/>
      <c r="HE159" s="15"/>
      <c r="HF159" s="15"/>
      <c r="HG159" s="15"/>
      <c r="HH159" s="15"/>
      <c r="HI159" s="15"/>
      <c r="HJ159" s="15"/>
      <c r="HK159" s="15"/>
      <c r="HL159" s="15"/>
      <c r="HM159" s="15"/>
      <c r="HN159" s="15"/>
      <c r="HO159" s="15"/>
      <c r="HP159" s="15"/>
      <c r="HQ159" s="15"/>
      <c r="HR159" s="15"/>
      <c r="HS159" s="15"/>
      <c r="HT159" s="15"/>
      <c r="HU159" s="15"/>
      <c r="HV159" s="15"/>
      <c r="HW159" s="15"/>
      <c r="HX159" s="15"/>
      <c r="HY159" s="15"/>
      <c r="HZ159" s="15"/>
      <c r="IA159" s="15"/>
      <c r="IB159" s="15"/>
      <c r="IC159" s="15"/>
      <c r="ID159" s="15"/>
      <c r="IE159" s="15"/>
      <c r="IF159" s="15"/>
      <c r="IG159" s="15"/>
      <c r="IH159" s="15"/>
      <c r="II159" s="15"/>
      <c r="IJ159" s="15"/>
      <c r="IK159" s="15"/>
      <c r="IL159" s="15"/>
      <c r="IM159" s="15"/>
      <c r="IN159" s="15"/>
      <c r="IO159" s="15"/>
      <c r="IP159" s="15"/>
      <c r="IQ159" s="15"/>
      <c r="IR159" s="15"/>
      <c r="IS159" s="15"/>
      <c r="IT159" s="15"/>
      <c r="IU159" s="16"/>
    </row>
    <row r="160" spans="1:255" ht="17" customHeight="1">
      <c r="A160" s="48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  <c r="DJ160" s="15"/>
      <c r="DK160" s="15"/>
      <c r="DL160" s="15"/>
      <c r="DM160" s="15"/>
      <c r="DN160" s="15"/>
      <c r="DO160" s="15"/>
      <c r="DP160" s="15"/>
      <c r="DQ160" s="15"/>
      <c r="DR160" s="15"/>
      <c r="DS160" s="15"/>
      <c r="DT160" s="15"/>
      <c r="DU160" s="15"/>
      <c r="DV160" s="15"/>
      <c r="DW160" s="15"/>
      <c r="DX160" s="15"/>
      <c r="DY160" s="15"/>
      <c r="DZ160" s="15"/>
      <c r="EA160" s="15"/>
      <c r="EB160" s="15"/>
      <c r="EC160" s="15"/>
      <c r="ED160" s="15"/>
      <c r="EE160" s="15"/>
      <c r="EF160" s="15"/>
      <c r="EG160" s="15"/>
      <c r="EH160" s="15"/>
      <c r="EI160" s="15"/>
      <c r="EJ160" s="15"/>
      <c r="EK160" s="15"/>
      <c r="EL160" s="15"/>
      <c r="EM160" s="15"/>
      <c r="EN160" s="15"/>
      <c r="EO160" s="15"/>
      <c r="EP160" s="15"/>
      <c r="EQ160" s="15"/>
      <c r="ER160" s="15"/>
      <c r="ES160" s="15"/>
      <c r="ET160" s="15"/>
      <c r="EU160" s="15"/>
      <c r="EV160" s="15"/>
      <c r="EW160" s="15"/>
      <c r="EX160" s="15"/>
      <c r="EY160" s="15"/>
      <c r="EZ160" s="15"/>
      <c r="FA160" s="15"/>
      <c r="FB160" s="15"/>
      <c r="FC160" s="15"/>
      <c r="FD160" s="15"/>
      <c r="FE160" s="15"/>
      <c r="FF160" s="15"/>
      <c r="FG160" s="15"/>
      <c r="FH160" s="15"/>
      <c r="FI160" s="15"/>
      <c r="FJ160" s="15"/>
      <c r="FK160" s="15"/>
      <c r="FL160" s="15"/>
      <c r="FM160" s="15"/>
      <c r="FN160" s="15"/>
      <c r="FO160" s="15"/>
      <c r="FP160" s="15"/>
      <c r="FQ160" s="15"/>
      <c r="FR160" s="15"/>
      <c r="FS160" s="15"/>
      <c r="FT160" s="15"/>
      <c r="FU160" s="15"/>
      <c r="FV160" s="15"/>
      <c r="FW160" s="15"/>
      <c r="FX160" s="15"/>
      <c r="FY160" s="15"/>
      <c r="FZ160" s="15"/>
      <c r="GA160" s="15"/>
      <c r="GB160" s="15"/>
      <c r="GC160" s="15"/>
      <c r="GD160" s="15"/>
      <c r="GE160" s="15"/>
      <c r="GF160" s="15"/>
      <c r="GG160" s="15"/>
      <c r="GH160" s="15"/>
      <c r="GI160" s="15"/>
      <c r="GJ160" s="15"/>
      <c r="GK160" s="15"/>
      <c r="GL160" s="15"/>
      <c r="GM160" s="15"/>
      <c r="GN160" s="15"/>
      <c r="GO160" s="15"/>
      <c r="GP160" s="15"/>
      <c r="GQ160" s="15"/>
      <c r="GR160" s="15"/>
      <c r="GS160" s="15"/>
      <c r="GT160" s="15"/>
      <c r="GU160" s="15"/>
      <c r="GV160" s="15"/>
      <c r="GW160" s="15"/>
      <c r="GX160" s="15"/>
      <c r="GY160" s="15"/>
      <c r="GZ160" s="15"/>
      <c r="HA160" s="15"/>
      <c r="HB160" s="15"/>
      <c r="HC160" s="15"/>
      <c r="HD160" s="15"/>
      <c r="HE160" s="15"/>
      <c r="HF160" s="15"/>
      <c r="HG160" s="15"/>
      <c r="HH160" s="15"/>
      <c r="HI160" s="15"/>
      <c r="HJ160" s="15"/>
      <c r="HK160" s="15"/>
      <c r="HL160" s="15"/>
      <c r="HM160" s="15"/>
      <c r="HN160" s="15"/>
      <c r="HO160" s="15"/>
      <c r="HP160" s="15"/>
      <c r="HQ160" s="15"/>
      <c r="HR160" s="15"/>
      <c r="HS160" s="15"/>
      <c r="HT160" s="15"/>
      <c r="HU160" s="15"/>
      <c r="HV160" s="15"/>
      <c r="HW160" s="15"/>
      <c r="HX160" s="15"/>
      <c r="HY160" s="15"/>
      <c r="HZ160" s="15"/>
      <c r="IA160" s="15"/>
      <c r="IB160" s="15"/>
      <c r="IC160" s="15"/>
      <c r="ID160" s="15"/>
      <c r="IE160" s="15"/>
      <c r="IF160" s="15"/>
      <c r="IG160" s="15"/>
      <c r="IH160" s="15"/>
      <c r="II160" s="15"/>
      <c r="IJ160" s="15"/>
      <c r="IK160" s="15"/>
      <c r="IL160" s="15"/>
      <c r="IM160" s="15"/>
      <c r="IN160" s="15"/>
      <c r="IO160" s="15"/>
      <c r="IP160" s="15"/>
      <c r="IQ160" s="15"/>
      <c r="IR160" s="15"/>
      <c r="IS160" s="15"/>
      <c r="IT160" s="15"/>
      <c r="IU160" s="16"/>
    </row>
    <row r="161" spans="1:255" ht="17" customHeight="1">
      <c r="A161" s="48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  <c r="DN161" s="15"/>
      <c r="DO161" s="15"/>
      <c r="DP161" s="15"/>
      <c r="DQ161" s="15"/>
      <c r="DR161" s="15"/>
      <c r="DS161" s="15"/>
      <c r="DT161" s="15"/>
      <c r="DU161" s="15"/>
      <c r="DV161" s="15"/>
      <c r="DW161" s="15"/>
      <c r="DX161" s="15"/>
      <c r="DY161" s="15"/>
      <c r="DZ161" s="15"/>
      <c r="EA161" s="15"/>
      <c r="EB161" s="15"/>
      <c r="EC161" s="15"/>
      <c r="ED161" s="15"/>
      <c r="EE161" s="15"/>
      <c r="EF161" s="15"/>
      <c r="EG161" s="15"/>
      <c r="EH161" s="15"/>
      <c r="EI161" s="15"/>
      <c r="EJ161" s="15"/>
      <c r="EK161" s="15"/>
      <c r="EL161" s="15"/>
      <c r="EM161" s="15"/>
      <c r="EN161" s="15"/>
      <c r="EO161" s="15"/>
      <c r="EP161" s="15"/>
      <c r="EQ161" s="15"/>
      <c r="ER161" s="15"/>
      <c r="ES161" s="15"/>
      <c r="ET161" s="15"/>
      <c r="EU161" s="15"/>
      <c r="EV161" s="15"/>
      <c r="EW161" s="15"/>
      <c r="EX161" s="15"/>
      <c r="EY161" s="15"/>
      <c r="EZ161" s="15"/>
      <c r="FA161" s="15"/>
      <c r="FB161" s="15"/>
      <c r="FC161" s="15"/>
      <c r="FD161" s="15"/>
      <c r="FE161" s="15"/>
      <c r="FF161" s="15"/>
      <c r="FG161" s="15"/>
      <c r="FH161" s="15"/>
      <c r="FI161" s="15"/>
      <c r="FJ161" s="15"/>
      <c r="FK161" s="15"/>
      <c r="FL161" s="15"/>
      <c r="FM161" s="15"/>
      <c r="FN161" s="15"/>
      <c r="FO161" s="15"/>
      <c r="FP161" s="15"/>
      <c r="FQ161" s="15"/>
      <c r="FR161" s="15"/>
      <c r="FS161" s="15"/>
      <c r="FT161" s="15"/>
      <c r="FU161" s="15"/>
      <c r="FV161" s="15"/>
      <c r="FW161" s="15"/>
      <c r="FX161" s="15"/>
      <c r="FY161" s="15"/>
      <c r="FZ161" s="15"/>
      <c r="GA161" s="15"/>
      <c r="GB161" s="15"/>
      <c r="GC161" s="15"/>
      <c r="GD161" s="15"/>
      <c r="GE161" s="15"/>
      <c r="GF161" s="15"/>
      <c r="GG161" s="15"/>
      <c r="GH161" s="15"/>
      <c r="GI161" s="15"/>
      <c r="GJ161" s="15"/>
      <c r="GK161" s="15"/>
      <c r="GL161" s="15"/>
      <c r="GM161" s="15"/>
      <c r="GN161" s="15"/>
      <c r="GO161" s="15"/>
      <c r="GP161" s="15"/>
      <c r="GQ161" s="15"/>
      <c r="GR161" s="15"/>
      <c r="GS161" s="15"/>
      <c r="GT161" s="15"/>
      <c r="GU161" s="15"/>
      <c r="GV161" s="15"/>
      <c r="GW161" s="15"/>
      <c r="GX161" s="15"/>
      <c r="GY161" s="15"/>
      <c r="GZ161" s="15"/>
      <c r="HA161" s="15"/>
      <c r="HB161" s="15"/>
      <c r="HC161" s="15"/>
      <c r="HD161" s="15"/>
      <c r="HE161" s="15"/>
      <c r="HF161" s="15"/>
      <c r="HG161" s="15"/>
      <c r="HH161" s="15"/>
      <c r="HI161" s="15"/>
      <c r="HJ161" s="15"/>
      <c r="HK161" s="15"/>
      <c r="HL161" s="15"/>
      <c r="HM161" s="15"/>
      <c r="HN161" s="15"/>
      <c r="HO161" s="15"/>
      <c r="HP161" s="15"/>
      <c r="HQ161" s="15"/>
      <c r="HR161" s="15"/>
      <c r="HS161" s="15"/>
      <c r="HT161" s="15"/>
      <c r="HU161" s="15"/>
      <c r="HV161" s="15"/>
      <c r="HW161" s="15"/>
      <c r="HX161" s="15"/>
      <c r="HY161" s="15"/>
      <c r="HZ161" s="15"/>
      <c r="IA161" s="15"/>
      <c r="IB161" s="15"/>
      <c r="IC161" s="15"/>
      <c r="ID161" s="15"/>
      <c r="IE161" s="15"/>
      <c r="IF161" s="15"/>
      <c r="IG161" s="15"/>
      <c r="IH161" s="15"/>
      <c r="II161" s="15"/>
      <c r="IJ161" s="15"/>
      <c r="IK161" s="15"/>
      <c r="IL161" s="15"/>
      <c r="IM161" s="15"/>
      <c r="IN161" s="15"/>
      <c r="IO161" s="15"/>
      <c r="IP161" s="15"/>
      <c r="IQ161" s="15"/>
      <c r="IR161" s="15"/>
      <c r="IS161" s="15"/>
      <c r="IT161" s="15"/>
      <c r="IU161" s="16"/>
    </row>
    <row r="162" spans="1:255" ht="17" customHeight="1">
      <c r="A162" s="48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  <c r="DW162" s="15"/>
      <c r="DX162" s="15"/>
      <c r="DY162" s="15"/>
      <c r="DZ162" s="15"/>
      <c r="EA162" s="15"/>
      <c r="EB162" s="15"/>
      <c r="EC162" s="15"/>
      <c r="ED162" s="15"/>
      <c r="EE162" s="15"/>
      <c r="EF162" s="15"/>
      <c r="EG162" s="15"/>
      <c r="EH162" s="15"/>
      <c r="EI162" s="15"/>
      <c r="EJ162" s="15"/>
      <c r="EK162" s="15"/>
      <c r="EL162" s="15"/>
      <c r="EM162" s="15"/>
      <c r="EN162" s="15"/>
      <c r="EO162" s="15"/>
      <c r="EP162" s="15"/>
      <c r="EQ162" s="15"/>
      <c r="ER162" s="15"/>
      <c r="ES162" s="15"/>
      <c r="ET162" s="15"/>
      <c r="EU162" s="15"/>
      <c r="EV162" s="15"/>
      <c r="EW162" s="15"/>
      <c r="EX162" s="15"/>
      <c r="EY162" s="15"/>
      <c r="EZ162" s="15"/>
      <c r="FA162" s="15"/>
      <c r="FB162" s="15"/>
      <c r="FC162" s="15"/>
      <c r="FD162" s="15"/>
      <c r="FE162" s="15"/>
      <c r="FF162" s="15"/>
      <c r="FG162" s="15"/>
      <c r="FH162" s="15"/>
      <c r="FI162" s="15"/>
      <c r="FJ162" s="15"/>
      <c r="FK162" s="15"/>
      <c r="FL162" s="15"/>
      <c r="FM162" s="15"/>
      <c r="FN162" s="15"/>
      <c r="FO162" s="15"/>
      <c r="FP162" s="15"/>
      <c r="FQ162" s="15"/>
      <c r="FR162" s="15"/>
      <c r="FS162" s="15"/>
      <c r="FT162" s="15"/>
      <c r="FU162" s="15"/>
      <c r="FV162" s="15"/>
      <c r="FW162" s="15"/>
      <c r="FX162" s="15"/>
      <c r="FY162" s="15"/>
      <c r="FZ162" s="15"/>
      <c r="GA162" s="15"/>
      <c r="GB162" s="15"/>
      <c r="GC162" s="15"/>
      <c r="GD162" s="15"/>
      <c r="GE162" s="15"/>
      <c r="GF162" s="15"/>
      <c r="GG162" s="15"/>
      <c r="GH162" s="15"/>
      <c r="GI162" s="15"/>
      <c r="GJ162" s="15"/>
      <c r="GK162" s="15"/>
      <c r="GL162" s="15"/>
      <c r="GM162" s="15"/>
      <c r="GN162" s="15"/>
      <c r="GO162" s="15"/>
      <c r="GP162" s="15"/>
      <c r="GQ162" s="15"/>
      <c r="GR162" s="15"/>
      <c r="GS162" s="15"/>
      <c r="GT162" s="15"/>
      <c r="GU162" s="15"/>
      <c r="GV162" s="15"/>
      <c r="GW162" s="15"/>
      <c r="GX162" s="15"/>
      <c r="GY162" s="15"/>
      <c r="GZ162" s="15"/>
      <c r="HA162" s="15"/>
      <c r="HB162" s="15"/>
      <c r="HC162" s="15"/>
      <c r="HD162" s="15"/>
      <c r="HE162" s="15"/>
      <c r="HF162" s="15"/>
      <c r="HG162" s="15"/>
      <c r="HH162" s="15"/>
      <c r="HI162" s="15"/>
      <c r="HJ162" s="15"/>
      <c r="HK162" s="15"/>
      <c r="HL162" s="15"/>
      <c r="HM162" s="15"/>
      <c r="HN162" s="15"/>
      <c r="HO162" s="15"/>
      <c r="HP162" s="15"/>
      <c r="HQ162" s="15"/>
      <c r="HR162" s="15"/>
      <c r="HS162" s="15"/>
      <c r="HT162" s="15"/>
      <c r="HU162" s="15"/>
      <c r="HV162" s="15"/>
      <c r="HW162" s="15"/>
      <c r="HX162" s="15"/>
      <c r="HY162" s="15"/>
      <c r="HZ162" s="15"/>
      <c r="IA162" s="15"/>
      <c r="IB162" s="15"/>
      <c r="IC162" s="15"/>
      <c r="ID162" s="15"/>
      <c r="IE162" s="15"/>
      <c r="IF162" s="15"/>
      <c r="IG162" s="15"/>
      <c r="IH162" s="15"/>
      <c r="II162" s="15"/>
      <c r="IJ162" s="15"/>
      <c r="IK162" s="15"/>
      <c r="IL162" s="15"/>
      <c r="IM162" s="15"/>
      <c r="IN162" s="15"/>
      <c r="IO162" s="15"/>
      <c r="IP162" s="15"/>
      <c r="IQ162" s="15"/>
      <c r="IR162" s="15"/>
      <c r="IS162" s="15"/>
      <c r="IT162" s="15"/>
      <c r="IU162" s="16"/>
    </row>
    <row r="163" spans="1:255" ht="17" customHeight="1">
      <c r="A163" s="48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  <c r="DP163" s="15"/>
      <c r="DQ163" s="15"/>
      <c r="DR163" s="15"/>
      <c r="DS163" s="15"/>
      <c r="DT163" s="15"/>
      <c r="DU163" s="15"/>
      <c r="DV163" s="15"/>
      <c r="DW163" s="15"/>
      <c r="DX163" s="15"/>
      <c r="DY163" s="15"/>
      <c r="DZ163" s="15"/>
      <c r="EA163" s="15"/>
      <c r="EB163" s="15"/>
      <c r="EC163" s="15"/>
      <c r="ED163" s="15"/>
      <c r="EE163" s="15"/>
      <c r="EF163" s="15"/>
      <c r="EG163" s="15"/>
      <c r="EH163" s="15"/>
      <c r="EI163" s="15"/>
      <c r="EJ163" s="15"/>
      <c r="EK163" s="15"/>
      <c r="EL163" s="15"/>
      <c r="EM163" s="15"/>
      <c r="EN163" s="15"/>
      <c r="EO163" s="15"/>
      <c r="EP163" s="15"/>
      <c r="EQ163" s="15"/>
      <c r="ER163" s="15"/>
      <c r="ES163" s="15"/>
      <c r="ET163" s="15"/>
      <c r="EU163" s="15"/>
      <c r="EV163" s="15"/>
      <c r="EW163" s="15"/>
      <c r="EX163" s="15"/>
      <c r="EY163" s="15"/>
      <c r="EZ163" s="15"/>
      <c r="FA163" s="15"/>
      <c r="FB163" s="15"/>
      <c r="FC163" s="15"/>
      <c r="FD163" s="15"/>
      <c r="FE163" s="15"/>
      <c r="FF163" s="15"/>
      <c r="FG163" s="15"/>
      <c r="FH163" s="15"/>
      <c r="FI163" s="15"/>
      <c r="FJ163" s="15"/>
      <c r="FK163" s="15"/>
      <c r="FL163" s="15"/>
      <c r="FM163" s="15"/>
      <c r="FN163" s="15"/>
      <c r="FO163" s="15"/>
      <c r="FP163" s="15"/>
      <c r="FQ163" s="15"/>
      <c r="FR163" s="15"/>
      <c r="FS163" s="15"/>
      <c r="FT163" s="15"/>
      <c r="FU163" s="15"/>
      <c r="FV163" s="15"/>
      <c r="FW163" s="15"/>
      <c r="FX163" s="15"/>
      <c r="FY163" s="15"/>
      <c r="FZ163" s="15"/>
      <c r="GA163" s="15"/>
      <c r="GB163" s="15"/>
      <c r="GC163" s="15"/>
      <c r="GD163" s="15"/>
      <c r="GE163" s="15"/>
      <c r="GF163" s="15"/>
      <c r="GG163" s="15"/>
      <c r="GH163" s="15"/>
      <c r="GI163" s="15"/>
      <c r="GJ163" s="15"/>
      <c r="GK163" s="15"/>
      <c r="GL163" s="15"/>
      <c r="GM163" s="15"/>
      <c r="GN163" s="15"/>
      <c r="GO163" s="15"/>
      <c r="GP163" s="15"/>
      <c r="GQ163" s="15"/>
      <c r="GR163" s="15"/>
      <c r="GS163" s="15"/>
      <c r="GT163" s="15"/>
      <c r="GU163" s="15"/>
      <c r="GV163" s="15"/>
      <c r="GW163" s="15"/>
      <c r="GX163" s="15"/>
      <c r="GY163" s="15"/>
      <c r="GZ163" s="15"/>
      <c r="HA163" s="15"/>
      <c r="HB163" s="15"/>
      <c r="HC163" s="15"/>
      <c r="HD163" s="15"/>
      <c r="HE163" s="15"/>
      <c r="HF163" s="15"/>
      <c r="HG163" s="15"/>
      <c r="HH163" s="15"/>
      <c r="HI163" s="15"/>
      <c r="HJ163" s="15"/>
      <c r="HK163" s="15"/>
      <c r="HL163" s="15"/>
      <c r="HM163" s="15"/>
      <c r="HN163" s="15"/>
      <c r="HO163" s="15"/>
      <c r="HP163" s="15"/>
      <c r="HQ163" s="15"/>
      <c r="HR163" s="15"/>
      <c r="HS163" s="15"/>
      <c r="HT163" s="15"/>
      <c r="HU163" s="15"/>
      <c r="HV163" s="15"/>
      <c r="HW163" s="15"/>
      <c r="HX163" s="15"/>
      <c r="HY163" s="15"/>
      <c r="HZ163" s="15"/>
      <c r="IA163" s="15"/>
      <c r="IB163" s="15"/>
      <c r="IC163" s="15"/>
      <c r="ID163" s="15"/>
      <c r="IE163" s="15"/>
      <c r="IF163" s="15"/>
      <c r="IG163" s="15"/>
      <c r="IH163" s="15"/>
      <c r="II163" s="15"/>
      <c r="IJ163" s="15"/>
      <c r="IK163" s="15"/>
      <c r="IL163" s="15"/>
      <c r="IM163" s="15"/>
      <c r="IN163" s="15"/>
      <c r="IO163" s="15"/>
      <c r="IP163" s="15"/>
      <c r="IQ163" s="15"/>
      <c r="IR163" s="15"/>
      <c r="IS163" s="15"/>
      <c r="IT163" s="15"/>
      <c r="IU163" s="16"/>
    </row>
    <row r="164" spans="1:255" ht="17" customHeight="1">
      <c r="A164" s="48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  <c r="DP164" s="15"/>
      <c r="DQ164" s="15"/>
      <c r="DR164" s="15"/>
      <c r="DS164" s="15"/>
      <c r="DT164" s="15"/>
      <c r="DU164" s="15"/>
      <c r="DV164" s="15"/>
      <c r="DW164" s="15"/>
      <c r="DX164" s="15"/>
      <c r="DY164" s="15"/>
      <c r="DZ164" s="15"/>
      <c r="EA164" s="15"/>
      <c r="EB164" s="15"/>
      <c r="EC164" s="15"/>
      <c r="ED164" s="15"/>
      <c r="EE164" s="15"/>
      <c r="EF164" s="15"/>
      <c r="EG164" s="15"/>
      <c r="EH164" s="15"/>
      <c r="EI164" s="15"/>
      <c r="EJ164" s="15"/>
      <c r="EK164" s="15"/>
      <c r="EL164" s="15"/>
      <c r="EM164" s="15"/>
      <c r="EN164" s="15"/>
      <c r="EO164" s="15"/>
      <c r="EP164" s="15"/>
      <c r="EQ164" s="15"/>
      <c r="ER164" s="15"/>
      <c r="ES164" s="15"/>
      <c r="ET164" s="15"/>
      <c r="EU164" s="15"/>
      <c r="EV164" s="15"/>
      <c r="EW164" s="15"/>
      <c r="EX164" s="15"/>
      <c r="EY164" s="15"/>
      <c r="EZ164" s="15"/>
      <c r="FA164" s="15"/>
      <c r="FB164" s="15"/>
      <c r="FC164" s="15"/>
      <c r="FD164" s="15"/>
      <c r="FE164" s="15"/>
      <c r="FF164" s="15"/>
      <c r="FG164" s="15"/>
      <c r="FH164" s="15"/>
      <c r="FI164" s="15"/>
      <c r="FJ164" s="15"/>
      <c r="FK164" s="15"/>
      <c r="FL164" s="15"/>
      <c r="FM164" s="15"/>
      <c r="FN164" s="15"/>
      <c r="FO164" s="15"/>
      <c r="FP164" s="15"/>
      <c r="FQ164" s="15"/>
      <c r="FR164" s="15"/>
      <c r="FS164" s="15"/>
      <c r="FT164" s="15"/>
      <c r="FU164" s="15"/>
      <c r="FV164" s="15"/>
      <c r="FW164" s="15"/>
      <c r="FX164" s="15"/>
      <c r="FY164" s="15"/>
      <c r="FZ164" s="15"/>
      <c r="GA164" s="15"/>
      <c r="GB164" s="15"/>
      <c r="GC164" s="15"/>
      <c r="GD164" s="15"/>
      <c r="GE164" s="15"/>
      <c r="GF164" s="15"/>
      <c r="GG164" s="15"/>
      <c r="GH164" s="15"/>
      <c r="GI164" s="15"/>
      <c r="GJ164" s="15"/>
      <c r="GK164" s="15"/>
      <c r="GL164" s="15"/>
      <c r="GM164" s="15"/>
      <c r="GN164" s="15"/>
      <c r="GO164" s="15"/>
      <c r="GP164" s="15"/>
      <c r="GQ164" s="15"/>
      <c r="GR164" s="15"/>
      <c r="GS164" s="15"/>
      <c r="GT164" s="15"/>
      <c r="GU164" s="15"/>
      <c r="GV164" s="15"/>
      <c r="GW164" s="15"/>
      <c r="GX164" s="15"/>
      <c r="GY164" s="15"/>
      <c r="GZ164" s="15"/>
      <c r="HA164" s="15"/>
      <c r="HB164" s="15"/>
      <c r="HC164" s="15"/>
      <c r="HD164" s="15"/>
      <c r="HE164" s="15"/>
      <c r="HF164" s="15"/>
      <c r="HG164" s="15"/>
      <c r="HH164" s="15"/>
      <c r="HI164" s="15"/>
      <c r="HJ164" s="15"/>
      <c r="HK164" s="15"/>
      <c r="HL164" s="15"/>
      <c r="HM164" s="15"/>
      <c r="HN164" s="15"/>
      <c r="HO164" s="15"/>
      <c r="HP164" s="15"/>
      <c r="HQ164" s="15"/>
      <c r="HR164" s="15"/>
      <c r="HS164" s="15"/>
      <c r="HT164" s="15"/>
      <c r="HU164" s="15"/>
      <c r="HV164" s="15"/>
      <c r="HW164" s="15"/>
      <c r="HX164" s="15"/>
      <c r="HY164" s="15"/>
      <c r="HZ164" s="15"/>
      <c r="IA164" s="15"/>
      <c r="IB164" s="15"/>
      <c r="IC164" s="15"/>
      <c r="ID164" s="15"/>
      <c r="IE164" s="15"/>
      <c r="IF164" s="15"/>
      <c r="IG164" s="15"/>
      <c r="IH164" s="15"/>
      <c r="II164" s="15"/>
      <c r="IJ164" s="15"/>
      <c r="IK164" s="15"/>
      <c r="IL164" s="15"/>
      <c r="IM164" s="15"/>
      <c r="IN164" s="15"/>
      <c r="IO164" s="15"/>
      <c r="IP164" s="15"/>
      <c r="IQ164" s="15"/>
      <c r="IR164" s="15"/>
      <c r="IS164" s="15"/>
      <c r="IT164" s="15"/>
      <c r="IU164" s="16"/>
    </row>
    <row r="165" spans="1:255" ht="17" customHeight="1">
      <c r="A165" s="48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  <c r="DN165" s="15"/>
      <c r="DO165" s="15"/>
      <c r="DP165" s="15"/>
      <c r="DQ165" s="15"/>
      <c r="DR165" s="15"/>
      <c r="DS165" s="15"/>
      <c r="DT165" s="15"/>
      <c r="DU165" s="15"/>
      <c r="DV165" s="15"/>
      <c r="DW165" s="15"/>
      <c r="DX165" s="15"/>
      <c r="DY165" s="15"/>
      <c r="DZ165" s="15"/>
      <c r="EA165" s="15"/>
      <c r="EB165" s="15"/>
      <c r="EC165" s="15"/>
      <c r="ED165" s="15"/>
      <c r="EE165" s="15"/>
      <c r="EF165" s="15"/>
      <c r="EG165" s="15"/>
      <c r="EH165" s="15"/>
      <c r="EI165" s="15"/>
      <c r="EJ165" s="15"/>
      <c r="EK165" s="15"/>
      <c r="EL165" s="15"/>
      <c r="EM165" s="15"/>
      <c r="EN165" s="15"/>
      <c r="EO165" s="15"/>
      <c r="EP165" s="15"/>
      <c r="EQ165" s="15"/>
      <c r="ER165" s="15"/>
      <c r="ES165" s="15"/>
      <c r="ET165" s="15"/>
      <c r="EU165" s="15"/>
      <c r="EV165" s="15"/>
      <c r="EW165" s="15"/>
      <c r="EX165" s="15"/>
      <c r="EY165" s="15"/>
      <c r="EZ165" s="15"/>
      <c r="FA165" s="15"/>
      <c r="FB165" s="15"/>
      <c r="FC165" s="15"/>
      <c r="FD165" s="15"/>
      <c r="FE165" s="15"/>
      <c r="FF165" s="15"/>
      <c r="FG165" s="15"/>
      <c r="FH165" s="15"/>
      <c r="FI165" s="15"/>
      <c r="FJ165" s="15"/>
      <c r="FK165" s="15"/>
      <c r="FL165" s="15"/>
      <c r="FM165" s="15"/>
      <c r="FN165" s="15"/>
      <c r="FO165" s="15"/>
      <c r="FP165" s="15"/>
      <c r="FQ165" s="15"/>
      <c r="FR165" s="15"/>
      <c r="FS165" s="15"/>
      <c r="FT165" s="15"/>
      <c r="FU165" s="15"/>
      <c r="FV165" s="15"/>
      <c r="FW165" s="15"/>
      <c r="FX165" s="15"/>
      <c r="FY165" s="15"/>
      <c r="FZ165" s="15"/>
      <c r="GA165" s="15"/>
      <c r="GB165" s="15"/>
      <c r="GC165" s="15"/>
      <c r="GD165" s="15"/>
      <c r="GE165" s="15"/>
      <c r="GF165" s="15"/>
      <c r="GG165" s="15"/>
      <c r="GH165" s="15"/>
      <c r="GI165" s="15"/>
      <c r="GJ165" s="15"/>
      <c r="GK165" s="15"/>
      <c r="GL165" s="15"/>
      <c r="GM165" s="15"/>
      <c r="GN165" s="15"/>
      <c r="GO165" s="15"/>
      <c r="GP165" s="15"/>
      <c r="GQ165" s="15"/>
      <c r="GR165" s="15"/>
      <c r="GS165" s="15"/>
      <c r="GT165" s="15"/>
      <c r="GU165" s="15"/>
      <c r="GV165" s="15"/>
      <c r="GW165" s="15"/>
      <c r="GX165" s="15"/>
      <c r="GY165" s="15"/>
      <c r="GZ165" s="15"/>
      <c r="HA165" s="15"/>
      <c r="HB165" s="15"/>
      <c r="HC165" s="15"/>
      <c r="HD165" s="15"/>
      <c r="HE165" s="15"/>
      <c r="HF165" s="15"/>
      <c r="HG165" s="15"/>
      <c r="HH165" s="15"/>
      <c r="HI165" s="15"/>
      <c r="HJ165" s="15"/>
      <c r="HK165" s="15"/>
      <c r="HL165" s="15"/>
      <c r="HM165" s="15"/>
      <c r="HN165" s="15"/>
      <c r="HO165" s="15"/>
      <c r="HP165" s="15"/>
      <c r="HQ165" s="15"/>
      <c r="HR165" s="15"/>
      <c r="HS165" s="15"/>
      <c r="HT165" s="15"/>
      <c r="HU165" s="15"/>
      <c r="HV165" s="15"/>
      <c r="HW165" s="15"/>
      <c r="HX165" s="15"/>
      <c r="HY165" s="15"/>
      <c r="HZ165" s="15"/>
      <c r="IA165" s="15"/>
      <c r="IB165" s="15"/>
      <c r="IC165" s="15"/>
      <c r="ID165" s="15"/>
      <c r="IE165" s="15"/>
      <c r="IF165" s="15"/>
      <c r="IG165" s="15"/>
      <c r="IH165" s="15"/>
      <c r="II165" s="15"/>
      <c r="IJ165" s="15"/>
      <c r="IK165" s="15"/>
      <c r="IL165" s="15"/>
      <c r="IM165" s="15"/>
      <c r="IN165" s="15"/>
      <c r="IO165" s="15"/>
      <c r="IP165" s="15"/>
      <c r="IQ165" s="15"/>
      <c r="IR165" s="15"/>
      <c r="IS165" s="15"/>
      <c r="IT165" s="15"/>
      <c r="IU165" s="16"/>
    </row>
    <row r="166" spans="1:255" ht="17" customHeight="1">
      <c r="A166" s="48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  <c r="DJ166" s="15"/>
      <c r="DK166" s="15"/>
      <c r="DL166" s="15"/>
      <c r="DM166" s="15"/>
      <c r="DN166" s="15"/>
      <c r="DO166" s="15"/>
      <c r="DP166" s="15"/>
      <c r="DQ166" s="15"/>
      <c r="DR166" s="15"/>
      <c r="DS166" s="15"/>
      <c r="DT166" s="15"/>
      <c r="DU166" s="15"/>
      <c r="DV166" s="15"/>
      <c r="DW166" s="15"/>
      <c r="DX166" s="15"/>
      <c r="DY166" s="15"/>
      <c r="DZ166" s="15"/>
      <c r="EA166" s="15"/>
      <c r="EB166" s="15"/>
      <c r="EC166" s="15"/>
      <c r="ED166" s="15"/>
      <c r="EE166" s="15"/>
      <c r="EF166" s="15"/>
      <c r="EG166" s="15"/>
      <c r="EH166" s="15"/>
      <c r="EI166" s="15"/>
      <c r="EJ166" s="15"/>
      <c r="EK166" s="15"/>
      <c r="EL166" s="15"/>
      <c r="EM166" s="15"/>
      <c r="EN166" s="15"/>
      <c r="EO166" s="15"/>
      <c r="EP166" s="15"/>
      <c r="EQ166" s="15"/>
      <c r="ER166" s="15"/>
      <c r="ES166" s="15"/>
      <c r="ET166" s="15"/>
      <c r="EU166" s="15"/>
      <c r="EV166" s="15"/>
      <c r="EW166" s="15"/>
      <c r="EX166" s="15"/>
      <c r="EY166" s="15"/>
      <c r="EZ166" s="15"/>
      <c r="FA166" s="15"/>
      <c r="FB166" s="15"/>
      <c r="FC166" s="15"/>
      <c r="FD166" s="15"/>
      <c r="FE166" s="15"/>
      <c r="FF166" s="15"/>
      <c r="FG166" s="15"/>
      <c r="FH166" s="15"/>
      <c r="FI166" s="15"/>
      <c r="FJ166" s="15"/>
      <c r="FK166" s="15"/>
      <c r="FL166" s="15"/>
      <c r="FM166" s="15"/>
      <c r="FN166" s="15"/>
      <c r="FO166" s="15"/>
      <c r="FP166" s="15"/>
      <c r="FQ166" s="15"/>
      <c r="FR166" s="15"/>
      <c r="FS166" s="15"/>
      <c r="FT166" s="15"/>
      <c r="FU166" s="15"/>
      <c r="FV166" s="15"/>
      <c r="FW166" s="15"/>
      <c r="FX166" s="15"/>
      <c r="FY166" s="15"/>
      <c r="FZ166" s="15"/>
      <c r="GA166" s="15"/>
      <c r="GB166" s="15"/>
      <c r="GC166" s="15"/>
      <c r="GD166" s="15"/>
      <c r="GE166" s="15"/>
      <c r="GF166" s="15"/>
      <c r="GG166" s="15"/>
      <c r="GH166" s="15"/>
      <c r="GI166" s="15"/>
      <c r="GJ166" s="15"/>
      <c r="GK166" s="15"/>
      <c r="GL166" s="15"/>
      <c r="GM166" s="15"/>
      <c r="GN166" s="15"/>
      <c r="GO166" s="15"/>
      <c r="GP166" s="15"/>
      <c r="GQ166" s="15"/>
      <c r="GR166" s="15"/>
      <c r="GS166" s="15"/>
      <c r="GT166" s="15"/>
      <c r="GU166" s="15"/>
      <c r="GV166" s="15"/>
      <c r="GW166" s="15"/>
      <c r="GX166" s="15"/>
      <c r="GY166" s="15"/>
      <c r="GZ166" s="15"/>
      <c r="HA166" s="15"/>
      <c r="HB166" s="15"/>
      <c r="HC166" s="15"/>
      <c r="HD166" s="15"/>
      <c r="HE166" s="15"/>
      <c r="HF166" s="15"/>
      <c r="HG166" s="15"/>
      <c r="HH166" s="15"/>
      <c r="HI166" s="15"/>
      <c r="HJ166" s="15"/>
      <c r="HK166" s="15"/>
      <c r="HL166" s="15"/>
      <c r="HM166" s="15"/>
      <c r="HN166" s="15"/>
      <c r="HO166" s="15"/>
      <c r="HP166" s="15"/>
      <c r="HQ166" s="15"/>
      <c r="HR166" s="15"/>
      <c r="HS166" s="15"/>
      <c r="HT166" s="15"/>
      <c r="HU166" s="15"/>
      <c r="HV166" s="15"/>
      <c r="HW166" s="15"/>
      <c r="HX166" s="15"/>
      <c r="HY166" s="15"/>
      <c r="HZ166" s="15"/>
      <c r="IA166" s="15"/>
      <c r="IB166" s="15"/>
      <c r="IC166" s="15"/>
      <c r="ID166" s="15"/>
      <c r="IE166" s="15"/>
      <c r="IF166" s="15"/>
      <c r="IG166" s="15"/>
      <c r="IH166" s="15"/>
      <c r="II166" s="15"/>
      <c r="IJ166" s="15"/>
      <c r="IK166" s="15"/>
      <c r="IL166" s="15"/>
      <c r="IM166" s="15"/>
      <c r="IN166" s="15"/>
      <c r="IO166" s="15"/>
      <c r="IP166" s="15"/>
      <c r="IQ166" s="15"/>
      <c r="IR166" s="15"/>
      <c r="IS166" s="15"/>
      <c r="IT166" s="15"/>
      <c r="IU166" s="16"/>
    </row>
    <row r="167" spans="1:255" ht="17" customHeight="1">
      <c r="A167" s="48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  <c r="DM167" s="15"/>
      <c r="DN167" s="15"/>
      <c r="DO167" s="15"/>
      <c r="DP167" s="15"/>
      <c r="DQ167" s="15"/>
      <c r="DR167" s="15"/>
      <c r="DS167" s="15"/>
      <c r="DT167" s="15"/>
      <c r="DU167" s="15"/>
      <c r="DV167" s="15"/>
      <c r="DW167" s="15"/>
      <c r="DX167" s="15"/>
      <c r="DY167" s="15"/>
      <c r="DZ167" s="15"/>
      <c r="EA167" s="15"/>
      <c r="EB167" s="15"/>
      <c r="EC167" s="15"/>
      <c r="ED167" s="15"/>
      <c r="EE167" s="15"/>
      <c r="EF167" s="15"/>
      <c r="EG167" s="15"/>
      <c r="EH167" s="15"/>
      <c r="EI167" s="15"/>
      <c r="EJ167" s="15"/>
      <c r="EK167" s="15"/>
      <c r="EL167" s="15"/>
      <c r="EM167" s="15"/>
      <c r="EN167" s="15"/>
      <c r="EO167" s="15"/>
      <c r="EP167" s="15"/>
      <c r="EQ167" s="15"/>
      <c r="ER167" s="15"/>
      <c r="ES167" s="15"/>
      <c r="ET167" s="15"/>
      <c r="EU167" s="15"/>
      <c r="EV167" s="15"/>
      <c r="EW167" s="15"/>
      <c r="EX167" s="15"/>
      <c r="EY167" s="15"/>
      <c r="EZ167" s="15"/>
      <c r="FA167" s="15"/>
      <c r="FB167" s="15"/>
      <c r="FC167" s="15"/>
      <c r="FD167" s="15"/>
      <c r="FE167" s="15"/>
      <c r="FF167" s="15"/>
      <c r="FG167" s="15"/>
      <c r="FH167" s="15"/>
      <c r="FI167" s="15"/>
      <c r="FJ167" s="15"/>
      <c r="FK167" s="15"/>
      <c r="FL167" s="15"/>
      <c r="FM167" s="15"/>
      <c r="FN167" s="15"/>
      <c r="FO167" s="15"/>
      <c r="FP167" s="15"/>
      <c r="FQ167" s="15"/>
      <c r="FR167" s="15"/>
      <c r="FS167" s="15"/>
      <c r="FT167" s="15"/>
      <c r="FU167" s="15"/>
      <c r="FV167" s="15"/>
      <c r="FW167" s="15"/>
      <c r="FX167" s="15"/>
      <c r="FY167" s="15"/>
      <c r="FZ167" s="15"/>
      <c r="GA167" s="15"/>
      <c r="GB167" s="15"/>
      <c r="GC167" s="15"/>
      <c r="GD167" s="15"/>
      <c r="GE167" s="15"/>
      <c r="GF167" s="15"/>
      <c r="GG167" s="15"/>
      <c r="GH167" s="15"/>
      <c r="GI167" s="15"/>
      <c r="GJ167" s="15"/>
      <c r="GK167" s="15"/>
      <c r="GL167" s="15"/>
      <c r="GM167" s="15"/>
      <c r="GN167" s="15"/>
      <c r="GO167" s="15"/>
      <c r="GP167" s="15"/>
      <c r="GQ167" s="15"/>
      <c r="GR167" s="15"/>
      <c r="GS167" s="15"/>
      <c r="GT167" s="15"/>
      <c r="GU167" s="15"/>
      <c r="GV167" s="15"/>
      <c r="GW167" s="15"/>
      <c r="GX167" s="15"/>
      <c r="GY167" s="15"/>
      <c r="GZ167" s="15"/>
      <c r="HA167" s="15"/>
      <c r="HB167" s="15"/>
      <c r="HC167" s="15"/>
      <c r="HD167" s="15"/>
      <c r="HE167" s="15"/>
      <c r="HF167" s="15"/>
      <c r="HG167" s="15"/>
      <c r="HH167" s="15"/>
      <c r="HI167" s="15"/>
      <c r="HJ167" s="15"/>
      <c r="HK167" s="15"/>
      <c r="HL167" s="15"/>
      <c r="HM167" s="15"/>
      <c r="HN167" s="15"/>
      <c r="HO167" s="15"/>
      <c r="HP167" s="15"/>
      <c r="HQ167" s="15"/>
      <c r="HR167" s="15"/>
      <c r="HS167" s="15"/>
      <c r="HT167" s="15"/>
      <c r="HU167" s="15"/>
      <c r="HV167" s="15"/>
      <c r="HW167" s="15"/>
      <c r="HX167" s="15"/>
      <c r="HY167" s="15"/>
      <c r="HZ167" s="15"/>
      <c r="IA167" s="15"/>
      <c r="IB167" s="15"/>
      <c r="IC167" s="15"/>
      <c r="ID167" s="15"/>
      <c r="IE167" s="15"/>
      <c r="IF167" s="15"/>
      <c r="IG167" s="15"/>
      <c r="IH167" s="15"/>
      <c r="II167" s="15"/>
      <c r="IJ167" s="15"/>
      <c r="IK167" s="15"/>
      <c r="IL167" s="15"/>
      <c r="IM167" s="15"/>
      <c r="IN167" s="15"/>
      <c r="IO167" s="15"/>
      <c r="IP167" s="15"/>
      <c r="IQ167" s="15"/>
      <c r="IR167" s="15"/>
      <c r="IS167" s="15"/>
      <c r="IT167" s="15"/>
      <c r="IU167" s="16"/>
    </row>
    <row r="168" spans="1:255" ht="17" customHeight="1">
      <c r="A168" s="48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  <c r="DP168" s="15"/>
      <c r="DQ168" s="15"/>
      <c r="DR168" s="15"/>
      <c r="DS168" s="15"/>
      <c r="DT168" s="15"/>
      <c r="DU168" s="15"/>
      <c r="DV168" s="15"/>
      <c r="DW168" s="15"/>
      <c r="DX168" s="15"/>
      <c r="DY168" s="15"/>
      <c r="DZ168" s="15"/>
      <c r="EA168" s="15"/>
      <c r="EB168" s="15"/>
      <c r="EC168" s="15"/>
      <c r="ED168" s="15"/>
      <c r="EE168" s="15"/>
      <c r="EF168" s="15"/>
      <c r="EG168" s="15"/>
      <c r="EH168" s="15"/>
      <c r="EI168" s="15"/>
      <c r="EJ168" s="15"/>
      <c r="EK168" s="15"/>
      <c r="EL168" s="15"/>
      <c r="EM168" s="15"/>
      <c r="EN168" s="15"/>
      <c r="EO168" s="15"/>
      <c r="EP168" s="15"/>
      <c r="EQ168" s="15"/>
      <c r="ER168" s="15"/>
      <c r="ES168" s="15"/>
      <c r="ET168" s="15"/>
      <c r="EU168" s="15"/>
      <c r="EV168" s="15"/>
      <c r="EW168" s="15"/>
      <c r="EX168" s="15"/>
      <c r="EY168" s="15"/>
      <c r="EZ168" s="15"/>
      <c r="FA168" s="15"/>
      <c r="FB168" s="15"/>
      <c r="FC168" s="15"/>
      <c r="FD168" s="15"/>
      <c r="FE168" s="15"/>
      <c r="FF168" s="15"/>
      <c r="FG168" s="15"/>
      <c r="FH168" s="15"/>
      <c r="FI168" s="15"/>
      <c r="FJ168" s="15"/>
      <c r="FK168" s="15"/>
      <c r="FL168" s="15"/>
      <c r="FM168" s="15"/>
      <c r="FN168" s="15"/>
      <c r="FO168" s="15"/>
      <c r="FP168" s="15"/>
      <c r="FQ168" s="15"/>
      <c r="FR168" s="15"/>
      <c r="FS168" s="15"/>
      <c r="FT168" s="15"/>
      <c r="FU168" s="15"/>
      <c r="FV168" s="15"/>
      <c r="FW168" s="15"/>
      <c r="FX168" s="15"/>
      <c r="FY168" s="15"/>
      <c r="FZ168" s="15"/>
      <c r="GA168" s="15"/>
      <c r="GB168" s="15"/>
      <c r="GC168" s="15"/>
      <c r="GD168" s="15"/>
      <c r="GE168" s="15"/>
      <c r="GF168" s="15"/>
      <c r="GG168" s="15"/>
      <c r="GH168" s="15"/>
      <c r="GI168" s="15"/>
      <c r="GJ168" s="15"/>
      <c r="GK168" s="15"/>
      <c r="GL168" s="15"/>
      <c r="GM168" s="15"/>
      <c r="GN168" s="15"/>
      <c r="GO168" s="15"/>
      <c r="GP168" s="15"/>
      <c r="GQ168" s="15"/>
      <c r="GR168" s="15"/>
      <c r="GS168" s="15"/>
      <c r="GT168" s="15"/>
      <c r="GU168" s="15"/>
      <c r="GV168" s="15"/>
      <c r="GW168" s="15"/>
      <c r="GX168" s="15"/>
      <c r="GY168" s="15"/>
      <c r="GZ168" s="15"/>
      <c r="HA168" s="15"/>
      <c r="HB168" s="15"/>
      <c r="HC168" s="15"/>
      <c r="HD168" s="15"/>
      <c r="HE168" s="15"/>
      <c r="HF168" s="15"/>
      <c r="HG168" s="15"/>
      <c r="HH168" s="15"/>
      <c r="HI168" s="15"/>
      <c r="HJ168" s="15"/>
      <c r="HK168" s="15"/>
      <c r="HL168" s="15"/>
      <c r="HM168" s="15"/>
      <c r="HN168" s="15"/>
      <c r="HO168" s="15"/>
      <c r="HP168" s="15"/>
      <c r="HQ168" s="15"/>
      <c r="HR168" s="15"/>
      <c r="HS168" s="15"/>
      <c r="HT168" s="15"/>
      <c r="HU168" s="15"/>
      <c r="HV168" s="15"/>
      <c r="HW168" s="15"/>
      <c r="HX168" s="15"/>
      <c r="HY168" s="15"/>
      <c r="HZ168" s="15"/>
      <c r="IA168" s="15"/>
      <c r="IB168" s="15"/>
      <c r="IC168" s="15"/>
      <c r="ID168" s="15"/>
      <c r="IE168" s="15"/>
      <c r="IF168" s="15"/>
      <c r="IG168" s="15"/>
      <c r="IH168" s="15"/>
      <c r="II168" s="15"/>
      <c r="IJ168" s="15"/>
      <c r="IK168" s="15"/>
      <c r="IL168" s="15"/>
      <c r="IM168" s="15"/>
      <c r="IN168" s="15"/>
      <c r="IO168" s="15"/>
      <c r="IP168" s="15"/>
      <c r="IQ168" s="15"/>
      <c r="IR168" s="15"/>
      <c r="IS168" s="15"/>
      <c r="IT168" s="15"/>
      <c r="IU168" s="16"/>
    </row>
    <row r="169" spans="1:255" ht="17" customHeight="1">
      <c r="A169" s="48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  <c r="DP169" s="15"/>
      <c r="DQ169" s="15"/>
      <c r="DR169" s="15"/>
      <c r="DS169" s="15"/>
      <c r="DT169" s="15"/>
      <c r="DU169" s="15"/>
      <c r="DV169" s="15"/>
      <c r="DW169" s="15"/>
      <c r="DX169" s="15"/>
      <c r="DY169" s="15"/>
      <c r="DZ169" s="15"/>
      <c r="EA169" s="15"/>
      <c r="EB169" s="15"/>
      <c r="EC169" s="15"/>
      <c r="ED169" s="15"/>
      <c r="EE169" s="15"/>
      <c r="EF169" s="15"/>
      <c r="EG169" s="15"/>
      <c r="EH169" s="15"/>
      <c r="EI169" s="15"/>
      <c r="EJ169" s="15"/>
      <c r="EK169" s="15"/>
      <c r="EL169" s="15"/>
      <c r="EM169" s="15"/>
      <c r="EN169" s="15"/>
      <c r="EO169" s="15"/>
      <c r="EP169" s="15"/>
      <c r="EQ169" s="15"/>
      <c r="ER169" s="15"/>
      <c r="ES169" s="15"/>
      <c r="ET169" s="15"/>
      <c r="EU169" s="15"/>
      <c r="EV169" s="15"/>
      <c r="EW169" s="15"/>
      <c r="EX169" s="15"/>
      <c r="EY169" s="15"/>
      <c r="EZ169" s="15"/>
      <c r="FA169" s="15"/>
      <c r="FB169" s="15"/>
      <c r="FC169" s="15"/>
      <c r="FD169" s="15"/>
      <c r="FE169" s="15"/>
      <c r="FF169" s="15"/>
      <c r="FG169" s="15"/>
      <c r="FH169" s="15"/>
      <c r="FI169" s="15"/>
      <c r="FJ169" s="15"/>
      <c r="FK169" s="15"/>
      <c r="FL169" s="15"/>
      <c r="FM169" s="15"/>
      <c r="FN169" s="15"/>
      <c r="FO169" s="15"/>
      <c r="FP169" s="15"/>
      <c r="FQ169" s="15"/>
      <c r="FR169" s="15"/>
      <c r="FS169" s="15"/>
      <c r="FT169" s="15"/>
      <c r="FU169" s="15"/>
      <c r="FV169" s="15"/>
      <c r="FW169" s="15"/>
      <c r="FX169" s="15"/>
      <c r="FY169" s="15"/>
      <c r="FZ169" s="15"/>
      <c r="GA169" s="15"/>
      <c r="GB169" s="15"/>
      <c r="GC169" s="15"/>
      <c r="GD169" s="15"/>
      <c r="GE169" s="15"/>
      <c r="GF169" s="15"/>
      <c r="GG169" s="15"/>
      <c r="GH169" s="15"/>
      <c r="GI169" s="15"/>
      <c r="GJ169" s="15"/>
      <c r="GK169" s="15"/>
      <c r="GL169" s="15"/>
      <c r="GM169" s="15"/>
      <c r="GN169" s="15"/>
      <c r="GO169" s="15"/>
      <c r="GP169" s="15"/>
      <c r="GQ169" s="15"/>
      <c r="GR169" s="15"/>
      <c r="GS169" s="15"/>
      <c r="GT169" s="15"/>
      <c r="GU169" s="15"/>
      <c r="GV169" s="15"/>
      <c r="GW169" s="15"/>
      <c r="GX169" s="15"/>
      <c r="GY169" s="15"/>
      <c r="GZ169" s="15"/>
      <c r="HA169" s="15"/>
      <c r="HB169" s="15"/>
      <c r="HC169" s="15"/>
      <c r="HD169" s="15"/>
      <c r="HE169" s="15"/>
      <c r="HF169" s="15"/>
      <c r="HG169" s="15"/>
      <c r="HH169" s="15"/>
      <c r="HI169" s="15"/>
      <c r="HJ169" s="15"/>
      <c r="HK169" s="15"/>
      <c r="HL169" s="15"/>
      <c r="HM169" s="15"/>
      <c r="HN169" s="15"/>
      <c r="HO169" s="15"/>
      <c r="HP169" s="15"/>
      <c r="HQ169" s="15"/>
      <c r="HR169" s="15"/>
      <c r="HS169" s="15"/>
      <c r="HT169" s="15"/>
      <c r="HU169" s="15"/>
      <c r="HV169" s="15"/>
      <c r="HW169" s="15"/>
      <c r="HX169" s="15"/>
      <c r="HY169" s="15"/>
      <c r="HZ169" s="15"/>
      <c r="IA169" s="15"/>
      <c r="IB169" s="15"/>
      <c r="IC169" s="15"/>
      <c r="ID169" s="15"/>
      <c r="IE169" s="15"/>
      <c r="IF169" s="15"/>
      <c r="IG169" s="15"/>
      <c r="IH169" s="15"/>
      <c r="II169" s="15"/>
      <c r="IJ169" s="15"/>
      <c r="IK169" s="15"/>
      <c r="IL169" s="15"/>
      <c r="IM169" s="15"/>
      <c r="IN169" s="15"/>
      <c r="IO169" s="15"/>
      <c r="IP169" s="15"/>
      <c r="IQ169" s="15"/>
      <c r="IR169" s="15"/>
      <c r="IS169" s="15"/>
      <c r="IT169" s="15"/>
      <c r="IU169" s="16"/>
    </row>
    <row r="170" spans="1:255" ht="17" customHeight="1">
      <c r="A170" s="48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  <c r="DJ170" s="15"/>
      <c r="DK170" s="15"/>
      <c r="DL170" s="15"/>
      <c r="DM170" s="15"/>
      <c r="DN170" s="15"/>
      <c r="DO170" s="15"/>
      <c r="DP170" s="15"/>
      <c r="DQ170" s="15"/>
      <c r="DR170" s="15"/>
      <c r="DS170" s="15"/>
      <c r="DT170" s="15"/>
      <c r="DU170" s="15"/>
      <c r="DV170" s="15"/>
      <c r="DW170" s="15"/>
      <c r="DX170" s="15"/>
      <c r="DY170" s="15"/>
      <c r="DZ170" s="15"/>
      <c r="EA170" s="15"/>
      <c r="EB170" s="15"/>
      <c r="EC170" s="15"/>
      <c r="ED170" s="15"/>
      <c r="EE170" s="15"/>
      <c r="EF170" s="15"/>
      <c r="EG170" s="15"/>
      <c r="EH170" s="15"/>
      <c r="EI170" s="15"/>
      <c r="EJ170" s="15"/>
      <c r="EK170" s="15"/>
      <c r="EL170" s="15"/>
      <c r="EM170" s="15"/>
      <c r="EN170" s="15"/>
      <c r="EO170" s="15"/>
      <c r="EP170" s="15"/>
      <c r="EQ170" s="15"/>
      <c r="ER170" s="15"/>
      <c r="ES170" s="15"/>
      <c r="ET170" s="15"/>
      <c r="EU170" s="15"/>
      <c r="EV170" s="15"/>
      <c r="EW170" s="15"/>
      <c r="EX170" s="15"/>
      <c r="EY170" s="15"/>
      <c r="EZ170" s="15"/>
      <c r="FA170" s="15"/>
      <c r="FB170" s="15"/>
      <c r="FC170" s="15"/>
      <c r="FD170" s="15"/>
      <c r="FE170" s="15"/>
      <c r="FF170" s="15"/>
      <c r="FG170" s="15"/>
      <c r="FH170" s="15"/>
      <c r="FI170" s="15"/>
      <c r="FJ170" s="15"/>
      <c r="FK170" s="15"/>
      <c r="FL170" s="15"/>
      <c r="FM170" s="15"/>
      <c r="FN170" s="15"/>
      <c r="FO170" s="15"/>
      <c r="FP170" s="15"/>
      <c r="FQ170" s="15"/>
      <c r="FR170" s="15"/>
      <c r="FS170" s="15"/>
      <c r="FT170" s="15"/>
      <c r="FU170" s="15"/>
      <c r="FV170" s="15"/>
      <c r="FW170" s="15"/>
      <c r="FX170" s="15"/>
      <c r="FY170" s="15"/>
      <c r="FZ170" s="15"/>
      <c r="GA170" s="15"/>
      <c r="GB170" s="15"/>
      <c r="GC170" s="15"/>
      <c r="GD170" s="15"/>
      <c r="GE170" s="15"/>
      <c r="GF170" s="15"/>
      <c r="GG170" s="15"/>
      <c r="GH170" s="15"/>
      <c r="GI170" s="15"/>
      <c r="GJ170" s="15"/>
      <c r="GK170" s="15"/>
      <c r="GL170" s="15"/>
      <c r="GM170" s="15"/>
      <c r="GN170" s="15"/>
      <c r="GO170" s="15"/>
      <c r="GP170" s="15"/>
      <c r="GQ170" s="15"/>
      <c r="GR170" s="15"/>
      <c r="GS170" s="15"/>
      <c r="GT170" s="15"/>
      <c r="GU170" s="15"/>
      <c r="GV170" s="15"/>
      <c r="GW170" s="15"/>
      <c r="GX170" s="15"/>
      <c r="GY170" s="15"/>
      <c r="GZ170" s="15"/>
      <c r="HA170" s="15"/>
      <c r="HB170" s="15"/>
      <c r="HC170" s="15"/>
      <c r="HD170" s="15"/>
      <c r="HE170" s="15"/>
      <c r="HF170" s="15"/>
      <c r="HG170" s="15"/>
      <c r="HH170" s="15"/>
      <c r="HI170" s="15"/>
      <c r="HJ170" s="15"/>
      <c r="HK170" s="15"/>
      <c r="HL170" s="15"/>
      <c r="HM170" s="15"/>
      <c r="HN170" s="15"/>
      <c r="HO170" s="15"/>
      <c r="HP170" s="15"/>
      <c r="HQ170" s="15"/>
      <c r="HR170" s="15"/>
      <c r="HS170" s="15"/>
      <c r="HT170" s="15"/>
      <c r="HU170" s="15"/>
      <c r="HV170" s="15"/>
      <c r="HW170" s="15"/>
      <c r="HX170" s="15"/>
      <c r="HY170" s="15"/>
      <c r="HZ170" s="15"/>
      <c r="IA170" s="15"/>
      <c r="IB170" s="15"/>
      <c r="IC170" s="15"/>
      <c r="ID170" s="15"/>
      <c r="IE170" s="15"/>
      <c r="IF170" s="15"/>
      <c r="IG170" s="15"/>
      <c r="IH170" s="15"/>
      <c r="II170" s="15"/>
      <c r="IJ170" s="15"/>
      <c r="IK170" s="15"/>
      <c r="IL170" s="15"/>
      <c r="IM170" s="15"/>
      <c r="IN170" s="15"/>
      <c r="IO170" s="15"/>
      <c r="IP170" s="15"/>
      <c r="IQ170" s="15"/>
      <c r="IR170" s="15"/>
      <c r="IS170" s="15"/>
      <c r="IT170" s="15"/>
      <c r="IU170" s="16"/>
    </row>
    <row r="171" spans="1:255" ht="17" customHeight="1">
      <c r="A171" s="48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  <c r="DL171" s="15"/>
      <c r="DM171" s="15"/>
      <c r="DN171" s="15"/>
      <c r="DO171" s="15"/>
      <c r="DP171" s="15"/>
      <c r="DQ171" s="15"/>
      <c r="DR171" s="15"/>
      <c r="DS171" s="15"/>
      <c r="DT171" s="15"/>
      <c r="DU171" s="15"/>
      <c r="DV171" s="15"/>
      <c r="DW171" s="15"/>
      <c r="DX171" s="15"/>
      <c r="DY171" s="15"/>
      <c r="DZ171" s="15"/>
      <c r="EA171" s="15"/>
      <c r="EB171" s="15"/>
      <c r="EC171" s="15"/>
      <c r="ED171" s="15"/>
      <c r="EE171" s="15"/>
      <c r="EF171" s="15"/>
      <c r="EG171" s="15"/>
      <c r="EH171" s="15"/>
      <c r="EI171" s="15"/>
      <c r="EJ171" s="15"/>
      <c r="EK171" s="15"/>
      <c r="EL171" s="15"/>
      <c r="EM171" s="15"/>
      <c r="EN171" s="15"/>
      <c r="EO171" s="15"/>
      <c r="EP171" s="15"/>
      <c r="EQ171" s="15"/>
      <c r="ER171" s="15"/>
      <c r="ES171" s="15"/>
      <c r="ET171" s="15"/>
      <c r="EU171" s="15"/>
      <c r="EV171" s="15"/>
      <c r="EW171" s="15"/>
      <c r="EX171" s="15"/>
      <c r="EY171" s="15"/>
      <c r="EZ171" s="15"/>
      <c r="FA171" s="15"/>
      <c r="FB171" s="15"/>
      <c r="FC171" s="15"/>
      <c r="FD171" s="15"/>
      <c r="FE171" s="15"/>
      <c r="FF171" s="15"/>
      <c r="FG171" s="15"/>
      <c r="FH171" s="15"/>
      <c r="FI171" s="15"/>
      <c r="FJ171" s="15"/>
      <c r="FK171" s="15"/>
      <c r="FL171" s="15"/>
      <c r="FM171" s="15"/>
      <c r="FN171" s="15"/>
      <c r="FO171" s="15"/>
      <c r="FP171" s="15"/>
      <c r="FQ171" s="15"/>
      <c r="FR171" s="15"/>
      <c r="FS171" s="15"/>
      <c r="FT171" s="15"/>
      <c r="FU171" s="15"/>
      <c r="FV171" s="15"/>
      <c r="FW171" s="15"/>
      <c r="FX171" s="15"/>
      <c r="FY171" s="15"/>
      <c r="FZ171" s="15"/>
      <c r="GA171" s="15"/>
      <c r="GB171" s="15"/>
      <c r="GC171" s="15"/>
      <c r="GD171" s="15"/>
      <c r="GE171" s="15"/>
      <c r="GF171" s="15"/>
      <c r="GG171" s="15"/>
      <c r="GH171" s="15"/>
      <c r="GI171" s="15"/>
      <c r="GJ171" s="15"/>
      <c r="GK171" s="15"/>
      <c r="GL171" s="15"/>
      <c r="GM171" s="15"/>
      <c r="GN171" s="15"/>
      <c r="GO171" s="15"/>
      <c r="GP171" s="15"/>
      <c r="GQ171" s="15"/>
      <c r="GR171" s="15"/>
      <c r="GS171" s="15"/>
      <c r="GT171" s="15"/>
      <c r="GU171" s="15"/>
      <c r="GV171" s="15"/>
      <c r="GW171" s="15"/>
      <c r="GX171" s="15"/>
      <c r="GY171" s="15"/>
      <c r="GZ171" s="15"/>
      <c r="HA171" s="15"/>
      <c r="HB171" s="15"/>
      <c r="HC171" s="15"/>
      <c r="HD171" s="15"/>
      <c r="HE171" s="15"/>
      <c r="HF171" s="15"/>
      <c r="HG171" s="15"/>
      <c r="HH171" s="15"/>
      <c r="HI171" s="15"/>
      <c r="HJ171" s="15"/>
      <c r="HK171" s="15"/>
      <c r="HL171" s="15"/>
      <c r="HM171" s="15"/>
      <c r="HN171" s="15"/>
      <c r="HO171" s="15"/>
      <c r="HP171" s="15"/>
      <c r="HQ171" s="15"/>
      <c r="HR171" s="15"/>
      <c r="HS171" s="15"/>
      <c r="HT171" s="15"/>
      <c r="HU171" s="15"/>
      <c r="HV171" s="15"/>
      <c r="HW171" s="15"/>
      <c r="HX171" s="15"/>
      <c r="HY171" s="15"/>
      <c r="HZ171" s="15"/>
      <c r="IA171" s="15"/>
      <c r="IB171" s="15"/>
      <c r="IC171" s="15"/>
      <c r="ID171" s="15"/>
      <c r="IE171" s="15"/>
      <c r="IF171" s="15"/>
      <c r="IG171" s="15"/>
      <c r="IH171" s="15"/>
      <c r="II171" s="15"/>
      <c r="IJ171" s="15"/>
      <c r="IK171" s="15"/>
      <c r="IL171" s="15"/>
      <c r="IM171" s="15"/>
      <c r="IN171" s="15"/>
      <c r="IO171" s="15"/>
      <c r="IP171" s="15"/>
      <c r="IQ171" s="15"/>
      <c r="IR171" s="15"/>
      <c r="IS171" s="15"/>
      <c r="IT171" s="15"/>
      <c r="IU171" s="16"/>
    </row>
    <row r="172" spans="1:255" ht="17" customHeight="1">
      <c r="A172" s="48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  <c r="DJ172" s="15"/>
      <c r="DK172" s="15"/>
      <c r="DL172" s="15"/>
      <c r="DM172" s="15"/>
      <c r="DN172" s="15"/>
      <c r="DO172" s="15"/>
      <c r="DP172" s="15"/>
      <c r="DQ172" s="15"/>
      <c r="DR172" s="15"/>
      <c r="DS172" s="15"/>
      <c r="DT172" s="15"/>
      <c r="DU172" s="15"/>
      <c r="DV172" s="15"/>
      <c r="DW172" s="15"/>
      <c r="DX172" s="15"/>
      <c r="DY172" s="15"/>
      <c r="DZ172" s="15"/>
      <c r="EA172" s="15"/>
      <c r="EB172" s="15"/>
      <c r="EC172" s="15"/>
      <c r="ED172" s="15"/>
      <c r="EE172" s="15"/>
      <c r="EF172" s="15"/>
      <c r="EG172" s="15"/>
      <c r="EH172" s="15"/>
      <c r="EI172" s="15"/>
      <c r="EJ172" s="15"/>
      <c r="EK172" s="15"/>
      <c r="EL172" s="15"/>
      <c r="EM172" s="15"/>
      <c r="EN172" s="15"/>
      <c r="EO172" s="15"/>
      <c r="EP172" s="15"/>
      <c r="EQ172" s="15"/>
      <c r="ER172" s="15"/>
      <c r="ES172" s="15"/>
      <c r="ET172" s="15"/>
      <c r="EU172" s="15"/>
      <c r="EV172" s="15"/>
      <c r="EW172" s="15"/>
      <c r="EX172" s="15"/>
      <c r="EY172" s="15"/>
      <c r="EZ172" s="15"/>
      <c r="FA172" s="15"/>
      <c r="FB172" s="15"/>
      <c r="FC172" s="15"/>
      <c r="FD172" s="15"/>
      <c r="FE172" s="15"/>
      <c r="FF172" s="15"/>
      <c r="FG172" s="15"/>
      <c r="FH172" s="15"/>
      <c r="FI172" s="15"/>
      <c r="FJ172" s="15"/>
      <c r="FK172" s="15"/>
      <c r="FL172" s="15"/>
      <c r="FM172" s="15"/>
      <c r="FN172" s="15"/>
      <c r="FO172" s="15"/>
      <c r="FP172" s="15"/>
      <c r="FQ172" s="15"/>
      <c r="FR172" s="15"/>
      <c r="FS172" s="15"/>
      <c r="FT172" s="15"/>
      <c r="FU172" s="15"/>
      <c r="FV172" s="15"/>
      <c r="FW172" s="15"/>
      <c r="FX172" s="15"/>
      <c r="FY172" s="15"/>
      <c r="FZ172" s="15"/>
      <c r="GA172" s="15"/>
      <c r="GB172" s="15"/>
      <c r="GC172" s="15"/>
      <c r="GD172" s="15"/>
      <c r="GE172" s="15"/>
      <c r="GF172" s="15"/>
      <c r="GG172" s="15"/>
      <c r="GH172" s="15"/>
      <c r="GI172" s="15"/>
      <c r="GJ172" s="15"/>
      <c r="GK172" s="15"/>
      <c r="GL172" s="15"/>
      <c r="GM172" s="15"/>
      <c r="GN172" s="15"/>
      <c r="GO172" s="15"/>
      <c r="GP172" s="15"/>
      <c r="GQ172" s="15"/>
      <c r="GR172" s="15"/>
      <c r="GS172" s="15"/>
      <c r="GT172" s="15"/>
      <c r="GU172" s="15"/>
      <c r="GV172" s="15"/>
      <c r="GW172" s="15"/>
      <c r="GX172" s="15"/>
      <c r="GY172" s="15"/>
      <c r="GZ172" s="15"/>
      <c r="HA172" s="15"/>
      <c r="HB172" s="15"/>
      <c r="HC172" s="15"/>
      <c r="HD172" s="15"/>
      <c r="HE172" s="15"/>
      <c r="HF172" s="15"/>
      <c r="HG172" s="15"/>
      <c r="HH172" s="15"/>
      <c r="HI172" s="15"/>
      <c r="HJ172" s="15"/>
      <c r="HK172" s="15"/>
      <c r="HL172" s="15"/>
      <c r="HM172" s="15"/>
      <c r="HN172" s="15"/>
      <c r="HO172" s="15"/>
      <c r="HP172" s="15"/>
      <c r="HQ172" s="15"/>
      <c r="HR172" s="15"/>
      <c r="HS172" s="15"/>
      <c r="HT172" s="15"/>
      <c r="HU172" s="15"/>
      <c r="HV172" s="15"/>
      <c r="HW172" s="15"/>
      <c r="HX172" s="15"/>
      <c r="HY172" s="15"/>
      <c r="HZ172" s="15"/>
      <c r="IA172" s="15"/>
      <c r="IB172" s="15"/>
      <c r="IC172" s="15"/>
      <c r="ID172" s="15"/>
      <c r="IE172" s="15"/>
      <c r="IF172" s="15"/>
      <c r="IG172" s="15"/>
      <c r="IH172" s="15"/>
      <c r="II172" s="15"/>
      <c r="IJ172" s="15"/>
      <c r="IK172" s="15"/>
      <c r="IL172" s="15"/>
      <c r="IM172" s="15"/>
      <c r="IN172" s="15"/>
      <c r="IO172" s="15"/>
      <c r="IP172" s="15"/>
      <c r="IQ172" s="15"/>
      <c r="IR172" s="15"/>
      <c r="IS172" s="15"/>
      <c r="IT172" s="15"/>
      <c r="IU172" s="16"/>
    </row>
    <row r="173" spans="1:255" ht="17" customHeight="1">
      <c r="A173" s="48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  <c r="DJ173" s="15"/>
      <c r="DK173" s="15"/>
      <c r="DL173" s="15"/>
      <c r="DM173" s="15"/>
      <c r="DN173" s="15"/>
      <c r="DO173" s="15"/>
      <c r="DP173" s="15"/>
      <c r="DQ173" s="15"/>
      <c r="DR173" s="15"/>
      <c r="DS173" s="15"/>
      <c r="DT173" s="15"/>
      <c r="DU173" s="15"/>
      <c r="DV173" s="15"/>
      <c r="DW173" s="15"/>
      <c r="DX173" s="15"/>
      <c r="DY173" s="15"/>
      <c r="DZ173" s="15"/>
      <c r="EA173" s="15"/>
      <c r="EB173" s="15"/>
      <c r="EC173" s="15"/>
      <c r="ED173" s="15"/>
      <c r="EE173" s="15"/>
      <c r="EF173" s="15"/>
      <c r="EG173" s="15"/>
      <c r="EH173" s="15"/>
      <c r="EI173" s="15"/>
      <c r="EJ173" s="15"/>
      <c r="EK173" s="15"/>
      <c r="EL173" s="15"/>
      <c r="EM173" s="15"/>
      <c r="EN173" s="15"/>
      <c r="EO173" s="15"/>
      <c r="EP173" s="15"/>
      <c r="EQ173" s="15"/>
      <c r="ER173" s="15"/>
      <c r="ES173" s="15"/>
      <c r="ET173" s="15"/>
      <c r="EU173" s="15"/>
      <c r="EV173" s="15"/>
      <c r="EW173" s="15"/>
      <c r="EX173" s="15"/>
      <c r="EY173" s="15"/>
      <c r="EZ173" s="15"/>
      <c r="FA173" s="15"/>
      <c r="FB173" s="15"/>
      <c r="FC173" s="15"/>
      <c r="FD173" s="15"/>
      <c r="FE173" s="15"/>
      <c r="FF173" s="15"/>
      <c r="FG173" s="15"/>
      <c r="FH173" s="15"/>
      <c r="FI173" s="15"/>
      <c r="FJ173" s="15"/>
      <c r="FK173" s="15"/>
      <c r="FL173" s="15"/>
      <c r="FM173" s="15"/>
      <c r="FN173" s="15"/>
      <c r="FO173" s="15"/>
      <c r="FP173" s="15"/>
      <c r="FQ173" s="15"/>
      <c r="FR173" s="15"/>
      <c r="FS173" s="15"/>
      <c r="FT173" s="15"/>
      <c r="FU173" s="15"/>
      <c r="FV173" s="15"/>
      <c r="FW173" s="15"/>
      <c r="FX173" s="15"/>
      <c r="FY173" s="15"/>
      <c r="FZ173" s="15"/>
      <c r="GA173" s="15"/>
      <c r="GB173" s="15"/>
      <c r="GC173" s="15"/>
      <c r="GD173" s="15"/>
      <c r="GE173" s="15"/>
      <c r="GF173" s="15"/>
      <c r="GG173" s="15"/>
      <c r="GH173" s="15"/>
      <c r="GI173" s="15"/>
      <c r="GJ173" s="15"/>
      <c r="GK173" s="15"/>
      <c r="GL173" s="15"/>
      <c r="GM173" s="15"/>
      <c r="GN173" s="15"/>
      <c r="GO173" s="15"/>
      <c r="GP173" s="15"/>
      <c r="GQ173" s="15"/>
      <c r="GR173" s="15"/>
      <c r="GS173" s="15"/>
      <c r="GT173" s="15"/>
      <c r="GU173" s="15"/>
      <c r="GV173" s="15"/>
      <c r="GW173" s="15"/>
      <c r="GX173" s="15"/>
      <c r="GY173" s="15"/>
      <c r="GZ173" s="15"/>
      <c r="HA173" s="15"/>
      <c r="HB173" s="15"/>
      <c r="HC173" s="15"/>
      <c r="HD173" s="15"/>
      <c r="HE173" s="15"/>
      <c r="HF173" s="15"/>
      <c r="HG173" s="15"/>
      <c r="HH173" s="15"/>
      <c r="HI173" s="15"/>
      <c r="HJ173" s="15"/>
      <c r="HK173" s="15"/>
      <c r="HL173" s="15"/>
      <c r="HM173" s="15"/>
      <c r="HN173" s="15"/>
      <c r="HO173" s="15"/>
      <c r="HP173" s="15"/>
      <c r="HQ173" s="15"/>
      <c r="HR173" s="15"/>
      <c r="HS173" s="15"/>
      <c r="HT173" s="15"/>
      <c r="HU173" s="15"/>
      <c r="HV173" s="15"/>
      <c r="HW173" s="15"/>
      <c r="HX173" s="15"/>
      <c r="HY173" s="15"/>
      <c r="HZ173" s="15"/>
      <c r="IA173" s="15"/>
      <c r="IB173" s="15"/>
      <c r="IC173" s="15"/>
      <c r="ID173" s="15"/>
      <c r="IE173" s="15"/>
      <c r="IF173" s="15"/>
      <c r="IG173" s="15"/>
      <c r="IH173" s="15"/>
      <c r="II173" s="15"/>
      <c r="IJ173" s="15"/>
      <c r="IK173" s="15"/>
      <c r="IL173" s="15"/>
      <c r="IM173" s="15"/>
      <c r="IN173" s="15"/>
      <c r="IO173" s="15"/>
      <c r="IP173" s="15"/>
      <c r="IQ173" s="15"/>
      <c r="IR173" s="15"/>
      <c r="IS173" s="15"/>
      <c r="IT173" s="15"/>
      <c r="IU173" s="16"/>
    </row>
    <row r="174" spans="1:255" ht="17" customHeight="1">
      <c r="A174" s="307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  <c r="CM174" s="54"/>
      <c r="CN174" s="54"/>
      <c r="CO174" s="54"/>
      <c r="CP174" s="54"/>
      <c r="CQ174" s="54"/>
      <c r="CR174" s="54"/>
      <c r="CS174" s="54"/>
      <c r="CT174" s="54"/>
      <c r="CU174" s="54"/>
      <c r="CV174" s="54"/>
      <c r="CW174" s="54"/>
      <c r="CX174" s="54"/>
      <c r="CY174" s="54"/>
      <c r="CZ174" s="54"/>
      <c r="DA174" s="54"/>
      <c r="DB174" s="54"/>
      <c r="DC174" s="54"/>
      <c r="DD174" s="54"/>
      <c r="DE174" s="54"/>
      <c r="DF174" s="54"/>
      <c r="DG174" s="54"/>
      <c r="DH174" s="54"/>
      <c r="DI174" s="54"/>
      <c r="DJ174" s="54"/>
      <c r="DK174" s="54"/>
      <c r="DL174" s="54"/>
      <c r="DM174" s="54"/>
      <c r="DN174" s="54"/>
      <c r="DO174" s="54"/>
      <c r="DP174" s="54"/>
      <c r="DQ174" s="54"/>
      <c r="DR174" s="54"/>
      <c r="DS174" s="54"/>
      <c r="DT174" s="54"/>
      <c r="DU174" s="54"/>
      <c r="DV174" s="54"/>
      <c r="DW174" s="54"/>
      <c r="DX174" s="54"/>
      <c r="DY174" s="54"/>
      <c r="DZ174" s="54"/>
      <c r="EA174" s="54"/>
      <c r="EB174" s="54"/>
      <c r="EC174" s="54"/>
      <c r="ED174" s="54"/>
      <c r="EE174" s="54"/>
      <c r="EF174" s="54"/>
      <c r="EG174" s="54"/>
      <c r="EH174" s="54"/>
      <c r="EI174" s="54"/>
      <c r="EJ174" s="54"/>
      <c r="EK174" s="54"/>
      <c r="EL174" s="54"/>
      <c r="EM174" s="54"/>
      <c r="EN174" s="54"/>
      <c r="EO174" s="54"/>
      <c r="EP174" s="54"/>
      <c r="EQ174" s="54"/>
      <c r="ER174" s="54"/>
      <c r="ES174" s="54"/>
      <c r="ET174" s="54"/>
      <c r="EU174" s="54"/>
      <c r="EV174" s="54"/>
      <c r="EW174" s="54"/>
      <c r="EX174" s="54"/>
      <c r="EY174" s="54"/>
      <c r="EZ174" s="54"/>
      <c r="FA174" s="54"/>
      <c r="FB174" s="54"/>
      <c r="FC174" s="54"/>
      <c r="FD174" s="54"/>
      <c r="FE174" s="54"/>
      <c r="FF174" s="54"/>
      <c r="FG174" s="54"/>
      <c r="FH174" s="54"/>
      <c r="FI174" s="54"/>
      <c r="FJ174" s="54"/>
      <c r="FK174" s="54"/>
      <c r="FL174" s="54"/>
      <c r="FM174" s="54"/>
      <c r="FN174" s="54"/>
      <c r="FO174" s="54"/>
      <c r="FP174" s="54"/>
      <c r="FQ174" s="54"/>
      <c r="FR174" s="54"/>
      <c r="FS174" s="54"/>
      <c r="FT174" s="54"/>
      <c r="FU174" s="54"/>
      <c r="FV174" s="54"/>
      <c r="FW174" s="54"/>
      <c r="FX174" s="54"/>
      <c r="FY174" s="54"/>
      <c r="FZ174" s="54"/>
      <c r="GA174" s="54"/>
      <c r="GB174" s="54"/>
      <c r="GC174" s="54"/>
      <c r="GD174" s="54"/>
      <c r="GE174" s="54"/>
      <c r="GF174" s="54"/>
      <c r="GG174" s="54"/>
      <c r="GH174" s="54"/>
      <c r="GI174" s="54"/>
      <c r="GJ174" s="54"/>
      <c r="GK174" s="54"/>
      <c r="GL174" s="54"/>
      <c r="GM174" s="54"/>
      <c r="GN174" s="54"/>
      <c r="GO174" s="54"/>
      <c r="GP174" s="54"/>
      <c r="GQ174" s="54"/>
      <c r="GR174" s="54"/>
      <c r="GS174" s="54"/>
      <c r="GT174" s="54"/>
      <c r="GU174" s="54"/>
      <c r="GV174" s="54"/>
      <c r="GW174" s="54"/>
      <c r="GX174" s="54"/>
      <c r="GY174" s="54"/>
      <c r="GZ174" s="54"/>
      <c r="HA174" s="54"/>
      <c r="HB174" s="54"/>
      <c r="HC174" s="54"/>
      <c r="HD174" s="54"/>
      <c r="HE174" s="54"/>
      <c r="HF174" s="54"/>
      <c r="HG174" s="54"/>
      <c r="HH174" s="54"/>
      <c r="HI174" s="54"/>
      <c r="HJ174" s="54"/>
      <c r="HK174" s="54"/>
      <c r="HL174" s="54"/>
      <c r="HM174" s="54"/>
      <c r="HN174" s="54"/>
      <c r="HO174" s="54"/>
      <c r="HP174" s="54"/>
      <c r="HQ174" s="54"/>
      <c r="HR174" s="54"/>
      <c r="HS174" s="54"/>
      <c r="HT174" s="54"/>
      <c r="HU174" s="54"/>
      <c r="HV174" s="54"/>
      <c r="HW174" s="54"/>
      <c r="HX174" s="54"/>
      <c r="HY174" s="54"/>
      <c r="HZ174" s="54"/>
      <c r="IA174" s="54"/>
      <c r="IB174" s="54"/>
      <c r="IC174" s="54"/>
      <c r="ID174" s="54"/>
      <c r="IE174" s="54"/>
      <c r="IF174" s="54"/>
      <c r="IG174" s="54"/>
      <c r="IH174" s="54"/>
      <c r="II174" s="54"/>
      <c r="IJ174" s="54"/>
      <c r="IK174" s="54"/>
      <c r="IL174" s="54"/>
      <c r="IM174" s="54"/>
      <c r="IN174" s="54"/>
      <c r="IO174" s="54"/>
      <c r="IP174" s="54"/>
      <c r="IQ174" s="54"/>
      <c r="IR174" s="54"/>
      <c r="IS174" s="54"/>
      <c r="IT174" s="54"/>
      <c r="IU174" s="55"/>
    </row>
  </sheetData>
  <mergeCells count="1">
    <mergeCell ref="D1:H1"/>
  </mergeCells>
  <pageMargins left="0.7" right="0.7" top="0.75" bottom="0.75" header="0.3" footer="0.3"/>
  <pageSetup orientation="portrait"/>
  <headerFooter>
    <oddFooter>&amp;C&amp;"Helvetica Neue,Regular"&amp;11&amp;K000000&amp;P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279"/>
  <sheetViews>
    <sheetView showGridLines="0" topLeftCell="A208" workbookViewId="0">
      <selection activeCell="D223" sqref="D223"/>
    </sheetView>
  </sheetViews>
  <sheetFormatPr baseColWidth="10" defaultColWidth="11.1640625" defaultRowHeight="16" customHeight="1"/>
  <cols>
    <col min="1" max="1" width="7" style="1" customWidth="1"/>
    <col min="2" max="2" width="11" style="1" customWidth="1"/>
    <col min="3" max="3" width="18.83203125" style="1" customWidth="1"/>
    <col min="4" max="5" width="18.5" style="1" customWidth="1"/>
    <col min="6" max="6" width="7" style="1" customWidth="1"/>
    <col min="7" max="7" width="5.5" style="1" customWidth="1"/>
    <col min="8" max="12" width="18.5" style="1" customWidth="1"/>
    <col min="13" max="256" width="11.1640625" style="1" customWidth="1"/>
  </cols>
  <sheetData>
    <row r="1" spans="1:17" ht="25" customHeight="1">
      <c r="A1" s="192"/>
      <c r="B1" s="57" t="s">
        <v>19</v>
      </c>
      <c r="C1" s="193"/>
      <c r="D1" s="619"/>
      <c r="E1" s="619"/>
      <c r="F1" s="619"/>
      <c r="G1" s="619"/>
      <c r="H1" s="619"/>
      <c r="I1" s="6"/>
      <c r="J1" s="5"/>
      <c r="K1" s="6"/>
      <c r="L1" s="6"/>
      <c r="M1" s="6"/>
      <c r="N1" s="6"/>
      <c r="O1" s="6"/>
      <c r="P1" s="6"/>
      <c r="Q1" s="7"/>
    </row>
    <row r="2" spans="1:17" ht="16" customHeight="1">
      <c r="A2" s="48"/>
      <c r="B2" s="196"/>
      <c r="C2" s="196"/>
      <c r="D2" s="115"/>
      <c r="E2" s="115"/>
      <c r="F2" s="115"/>
      <c r="G2" s="197" t="s">
        <v>64</v>
      </c>
      <c r="H2" s="198">
        <v>1</v>
      </c>
      <c r="I2" s="198">
        <v>2</v>
      </c>
      <c r="J2" s="198">
        <v>3</v>
      </c>
      <c r="K2" s="198">
        <v>4</v>
      </c>
      <c r="L2" s="198">
        <v>5</v>
      </c>
      <c r="M2" s="15"/>
      <c r="N2" s="15"/>
      <c r="O2" s="15"/>
      <c r="P2" s="15"/>
      <c r="Q2" s="16"/>
    </row>
    <row r="3" spans="1:17" ht="20" customHeight="1">
      <c r="A3" s="199"/>
      <c r="B3" s="557" t="str">
        <f>Introduction!D4&amp;" Costs"</f>
        <v>Unicorn Inc. Costs</v>
      </c>
      <c r="C3" s="201"/>
      <c r="D3" s="201"/>
      <c r="E3" s="201"/>
      <c r="F3" s="201"/>
      <c r="G3" s="202"/>
      <c r="H3" s="203" t="str">
        <f>"Year "&amp;H2</f>
        <v>Year 1</v>
      </c>
      <c r="I3" s="203" t="str">
        <f>"Year "&amp;I2</f>
        <v>Year 2</v>
      </c>
      <c r="J3" s="203" t="str">
        <f>"Year "&amp;J2</f>
        <v>Year 3</v>
      </c>
      <c r="K3" s="203" t="str">
        <f>"Year "&amp;K2</f>
        <v>Year 4</v>
      </c>
      <c r="L3" s="204" t="str">
        <f>"Year "&amp;L2</f>
        <v>Year 5</v>
      </c>
      <c r="M3" s="205"/>
      <c r="N3" s="15"/>
      <c r="O3" s="15"/>
      <c r="P3" s="15"/>
      <c r="Q3" s="16"/>
    </row>
    <row r="4" spans="1:17" ht="12" customHeight="1">
      <c r="A4" s="309"/>
      <c r="B4" s="310"/>
      <c r="C4" s="311"/>
      <c r="D4" s="311"/>
      <c r="E4" s="310"/>
      <c r="F4" s="311"/>
      <c r="G4" s="311"/>
      <c r="H4" s="312"/>
      <c r="I4" s="312"/>
      <c r="J4" s="312"/>
      <c r="K4" s="312"/>
      <c r="L4" s="312"/>
      <c r="M4" s="15"/>
      <c r="N4" s="15"/>
      <c r="O4" s="15"/>
      <c r="P4" s="15"/>
      <c r="Q4" s="16"/>
    </row>
    <row r="5" spans="1:17" ht="12" customHeight="1">
      <c r="A5" s="309"/>
      <c r="B5" s="313"/>
      <c r="C5" s="314"/>
      <c r="D5" s="314"/>
      <c r="E5" s="313"/>
      <c r="F5" s="314"/>
      <c r="G5" s="314"/>
      <c r="H5" s="315"/>
      <c r="I5" s="315"/>
      <c r="J5" s="315"/>
      <c r="K5" s="315"/>
      <c r="L5" s="315"/>
      <c r="M5" s="15"/>
      <c r="N5" s="15"/>
      <c r="O5" s="15"/>
      <c r="P5" s="15"/>
      <c r="Q5" s="16"/>
    </row>
    <row r="6" spans="1:17" ht="20" customHeight="1">
      <c r="A6" s="316"/>
      <c r="B6" s="317" t="s">
        <v>31</v>
      </c>
      <c r="C6" s="201"/>
      <c r="D6" s="201"/>
      <c r="E6" s="201"/>
      <c r="F6" s="201"/>
      <c r="G6" s="202"/>
      <c r="H6" s="212" t="str">
        <f t="shared" ref="H6:H145" si="0">H$3</f>
        <v>Year 1</v>
      </c>
      <c r="I6" s="212" t="str">
        <f>I$3</f>
        <v>Year 2</v>
      </c>
      <c r="J6" s="212" t="str">
        <f>J$3</f>
        <v>Year 3</v>
      </c>
      <c r="K6" s="212" t="str">
        <f>K$3</f>
        <v>Year 4</v>
      </c>
      <c r="L6" s="213" t="str">
        <f>L$3</f>
        <v>Year 5</v>
      </c>
      <c r="M6" s="14"/>
      <c r="N6" s="15"/>
      <c r="O6" s="15"/>
      <c r="P6" s="15"/>
      <c r="Q6" s="16"/>
    </row>
    <row r="7" spans="1:17" ht="19" customHeight="1">
      <c r="A7" s="133"/>
      <c r="B7" s="80" t="s">
        <v>94</v>
      </c>
      <c r="C7" s="318"/>
      <c r="D7" s="273"/>
      <c r="E7" s="273"/>
      <c r="F7" s="273"/>
      <c r="G7" s="319"/>
      <c r="H7" s="320"/>
      <c r="I7" s="321"/>
      <c r="J7" s="321"/>
      <c r="K7" s="321"/>
      <c r="L7" s="321"/>
      <c r="M7" s="14"/>
      <c r="N7" s="15"/>
      <c r="O7" s="15"/>
      <c r="P7" s="15"/>
      <c r="Q7" s="16"/>
    </row>
    <row r="8" spans="1:17" ht="16" customHeight="1">
      <c r="A8" s="133"/>
      <c r="B8" s="244"/>
      <c r="C8" s="188" t="s">
        <v>95</v>
      </c>
      <c r="D8" s="322"/>
      <c r="E8" s="267"/>
      <c r="F8" s="267"/>
      <c r="G8" s="323"/>
      <c r="H8" s="324"/>
      <c r="I8" s="224"/>
      <c r="J8" s="224"/>
      <c r="K8" s="224"/>
      <c r="L8" s="224"/>
      <c r="M8" s="14"/>
      <c r="N8" s="15"/>
      <c r="O8" s="15"/>
      <c r="P8" s="15"/>
      <c r="Q8" s="16"/>
    </row>
    <row r="9" spans="1:17" ht="16" customHeight="1">
      <c r="A9" s="325"/>
      <c r="B9" s="159"/>
      <c r="C9" s="233" t="s">
        <v>96</v>
      </c>
      <c r="D9" s="326">
        <v>65000</v>
      </c>
      <c r="E9" s="327"/>
      <c r="F9" s="328"/>
      <c r="G9" s="329"/>
      <c r="H9" s="330">
        <f>IF(G9&gt;0,G9*(1+$D11),IF($D10=H$2,($D9*$D12),0))</f>
        <v>65000</v>
      </c>
      <c r="I9" s="235">
        <f>IF(H9&gt;0,(H9/$D12)*(1+$D11),IF($D10=I$2,$D9,0))</f>
        <v>71500</v>
      </c>
      <c r="J9" s="235">
        <f>IF(I9&gt;0,I9*(1+$D11),IF($D10=J$2,$D9,0))</f>
        <v>78650</v>
      </c>
      <c r="K9" s="235">
        <f>IF(J9&gt;0,J9*(1+$D11),IF($D10=K$2,$D9,0))</f>
        <v>86515</v>
      </c>
      <c r="L9" s="235">
        <f>IF(K9&gt;0,K9*(1+$D11),IF($D10=L$2,$D9,0))</f>
        <v>95166.500000000015</v>
      </c>
      <c r="M9" s="331"/>
      <c r="N9" s="15"/>
      <c r="O9" s="15"/>
      <c r="P9" s="15"/>
      <c r="Q9" s="16"/>
    </row>
    <row r="10" spans="1:17" ht="16" customHeight="1">
      <c r="A10" s="133"/>
      <c r="B10" s="244"/>
      <c r="C10" s="233" t="s">
        <v>97</v>
      </c>
      <c r="D10" s="332">
        <v>1</v>
      </c>
      <c r="E10" s="272"/>
      <c r="F10" s="267"/>
      <c r="G10" s="323"/>
      <c r="H10" s="324"/>
      <c r="I10" s="224"/>
      <c r="J10" s="224"/>
      <c r="K10" s="224"/>
      <c r="L10" s="224"/>
      <c r="M10" s="14"/>
      <c r="N10" s="15"/>
      <c r="O10" s="15"/>
      <c r="P10" s="15"/>
      <c r="Q10" s="16"/>
    </row>
    <row r="11" spans="1:17" ht="16" customHeight="1">
      <c r="A11" s="133"/>
      <c r="B11" s="244"/>
      <c r="C11" s="233" t="s">
        <v>98</v>
      </c>
      <c r="D11" s="333">
        <v>0.1</v>
      </c>
      <c r="E11" s="272"/>
      <c r="F11" s="267"/>
      <c r="G11" s="323"/>
      <c r="H11" s="324"/>
      <c r="I11" s="224"/>
      <c r="J11" s="224"/>
      <c r="K11" s="224"/>
      <c r="L11" s="224"/>
      <c r="M11" s="14"/>
      <c r="N11" s="15"/>
      <c r="O11" s="15"/>
      <c r="P11" s="15"/>
      <c r="Q11" s="16"/>
    </row>
    <row r="12" spans="1:17" ht="16" customHeight="1">
      <c r="A12" s="133"/>
      <c r="B12" s="244"/>
      <c r="C12" s="233" t="s">
        <v>99</v>
      </c>
      <c r="D12" s="254">
        <v>1</v>
      </c>
      <c r="E12" s="272"/>
      <c r="F12" s="267"/>
      <c r="G12" s="323"/>
      <c r="H12" s="324"/>
      <c r="I12" s="224"/>
      <c r="J12" s="224"/>
      <c r="K12" s="224"/>
      <c r="L12" s="224"/>
      <c r="M12" s="14"/>
      <c r="N12" s="15"/>
      <c r="O12" s="15"/>
      <c r="P12" s="15"/>
      <c r="Q12" s="16"/>
    </row>
    <row r="13" spans="1:17" ht="16" customHeight="1">
      <c r="A13" s="133"/>
      <c r="B13" s="244"/>
      <c r="C13" s="334" t="s">
        <v>100</v>
      </c>
      <c r="D13" s="15"/>
      <c r="E13" s="267"/>
      <c r="F13" s="267"/>
      <c r="G13" s="323"/>
      <c r="H13" s="335">
        <f>IF(H$2&gt;=$D10,1,0)</f>
        <v>1</v>
      </c>
      <c r="I13" s="336">
        <f>IF(I$2&gt;=$D10,1,0)</f>
        <v>1</v>
      </c>
      <c r="J13" s="336">
        <f>IF(J$2&gt;=$D10,1,0)</f>
        <v>1</v>
      </c>
      <c r="K13" s="336">
        <f>IF(K$2&gt;=$D10,1,0)</f>
        <v>1</v>
      </c>
      <c r="L13" s="336">
        <f>IF(L$2&gt;=$D10,1,0)</f>
        <v>1</v>
      </c>
      <c r="M13" s="14"/>
      <c r="N13" s="15"/>
      <c r="O13" s="15"/>
      <c r="P13" s="15"/>
      <c r="Q13" s="16"/>
    </row>
    <row r="14" spans="1:17" ht="16" customHeight="1">
      <c r="A14" s="133"/>
      <c r="B14" s="244"/>
      <c r="C14" s="267"/>
      <c r="D14" s="15"/>
      <c r="E14" s="267"/>
      <c r="F14" s="267"/>
      <c r="G14" s="323"/>
      <c r="H14" s="324"/>
      <c r="I14" s="224"/>
      <c r="J14" s="224"/>
      <c r="K14" s="224"/>
      <c r="L14" s="224"/>
      <c r="M14" s="14"/>
      <c r="N14" s="15"/>
      <c r="O14" s="15"/>
      <c r="P14" s="15"/>
      <c r="Q14" s="16"/>
    </row>
    <row r="15" spans="1:17" ht="16" customHeight="1">
      <c r="A15" s="133"/>
      <c r="B15" s="244"/>
      <c r="C15" s="188" t="s">
        <v>269</v>
      </c>
      <c r="D15" s="322"/>
      <c r="E15" s="267"/>
      <c r="F15" s="267"/>
      <c r="G15" s="323"/>
      <c r="H15" s="324"/>
      <c r="I15" s="224"/>
      <c r="J15" s="224"/>
      <c r="K15" s="224"/>
      <c r="L15" s="224"/>
      <c r="M15" s="14"/>
      <c r="N15" s="15"/>
      <c r="O15" s="15"/>
      <c r="P15" s="15"/>
      <c r="Q15" s="16"/>
    </row>
    <row r="16" spans="1:17" ht="16" customHeight="1">
      <c r="A16" s="325"/>
      <c r="B16" s="159"/>
      <c r="C16" s="233" t="s">
        <v>96</v>
      </c>
      <c r="D16" s="326">
        <v>65000</v>
      </c>
      <c r="E16" s="327"/>
      <c r="F16" s="328"/>
      <c r="G16" s="329"/>
      <c r="H16" s="330">
        <f>IF(G16&gt;0,G16*(1+$D18),IF($D17=H$2,($D16*$D19),0))</f>
        <v>65000</v>
      </c>
      <c r="I16" s="235">
        <f>IF(H16&gt;0,(H16/$D19)*(1+$D18),IF($D17=I$2,$D16,0))</f>
        <v>71500</v>
      </c>
      <c r="J16" s="235">
        <f>IF(I16&gt;0,I16*(1+$D18),IF($D17=J$2,$D16,0))</f>
        <v>78650</v>
      </c>
      <c r="K16" s="235">
        <f>IF(J16&gt;0,J16*(1+$D18),IF($D17=K$2,$D16,0))</f>
        <v>86515</v>
      </c>
      <c r="L16" s="235">
        <f>IF(K16&gt;0,K16*(1+$D18),IF($D17=L$2,$D16,0))</f>
        <v>95166.500000000015</v>
      </c>
      <c r="M16" s="331"/>
      <c r="N16" s="15"/>
      <c r="O16" s="15"/>
      <c r="P16" s="15"/>
      <c r="Q16" s="16"/>
    </row>
    <row r="17" spans="1:17" ht="16" customHeight="1">
      <c r="A17" s="133"/>
      <c r="B17" s="244"/>
      <c r="C17" s="233" t="s">
        <v>97</v>
      </c>
      <c r="D17" s="332">
        <v>1</v>
      </c>
      <c r="E17" s="272"/>
      <c r="F17" s="267"/>
      <c r="G17" s="323"/>
      <c r="H17" s="324"/>
      <c r="I17" s="224"/>
      <c r="J17" s="224"/>
      <c r="K17" s="224"/>
      <c r="L17" s="224"/>
      <c r="M17" s="14"/>
      <c r="N17" s="15"/>
      <c r="O17" s="15"/>
      <c r="P17" s="15"/>
      <c r="Q17" s="16"/>
    </row>
    <row r="18" spans="1:17" ht="16" customHeight="1">
      <c r="A18" s="133"/>
      <c r="B18" s="244"/>
      <c r="C18" s="233" t="s">
        <v>98</v>
      </c>
      <c r="D18" s="333">
        <v>0.1</v>
      </c>
      <c r="E18" s="272"/>
      <c r="F18" s="267"/>
      <c r="G18" s="323"/>
      <c r="H18" s="324"/>
      <c r="I18" s="224"/>
      <c r="J18" s="224"/>
      <c r="K18" s="224"/>
      <c r="L18" s="224"/>
      <c r="M18" s="14"/>
      <c r="N18" s="15"/>
      <c r="O18" s="15"/>
      <c r="P18" s="15"/>
      <c r="Q18" s="16"/>
    </row>
    <row r="19" spans="1:17" ht="16" customHeight="1">
      <c r="A19" s="133"/>
      <c r="B19" s="244"/>
      <c r="C19" s="233" t="s">
        <v>99</v>
      </c>
      <c r="D19" s="254">
        <v>1</v>
      </c>
      <c r="E19" s="272"/>
      <c r="F19" s="267"/>
      <c r="G19" s="323"/>
      <c r="H19" s="324"/>
      <c r="I19" s="224"/>
      <c r="J19" s="224"/>
      <c r="K19" s="224"/>
      <c r="L19" s="224"/>
      <c r="M19" s="14"/>
      <c r="N19" s="15"/>
      <c r="O19" s="15"/>
      <c r="P19" s="15"/>
      <c r="Q19" s="16"/>
    </row>
    <row r="20" spans="1:17" ht="16" customHeight="1">
      <c r="A20" s="133"/>
      <c r="B20" s="244"/>
      <c r="C20" s="334" t="s">
        <v>100</v>
      </c>
      <c r="D20" s="15"/>
      <c r="E20" s="267"/>
      <c r="F20" s="267"/>
      <c r="G20" s="323"/>
      <c r="H20" s="335">
        <f>IF(H$2&gt;=$D17,1,0)</f>
        <v>1</v>
      </c>
      <c r="I20" s="336">
        <f>IF(I$2&gt;=$D17,1,0)</f>
        <v>1</v>
      </c>
      <c r="J20" s="336">
        <f>IF(J$2&gt;=$D17,1,0)</f>
        <v>1</v>
      </c>
      <c r="K20" s="336">
        <f>IF(K$2&gt;=$D17,1,0)</f>
        <v>1</v>
      </c>
      <c r="L20" s="336">
        <f>IF(L$2&gt;=$D17,1,0)</f>
        <v>1</v>
      </c>
      <c r="M20" s="14"/>
      <c r="N20" s="15"/>
      <c r="O20" s="15"/>
      <c r="P20" s="15"/>
      <c r="Q20" s="16"/>
    </row>
    <row r="21" spans="1:17" ht="16" customHeight="1">
      <c r="A21" s="133"/>
      <c r="B21" s="244"/>
      <c r="C21" s="35"/>
      <c r="D21" s="267"/>
      <c r="E21" s="267"/>
      <c r="F21" s="267"/>
      <c r="G21" s="323"/>
      <c r="H21" s="324"/>
      <c r="I21" s="224"/>
      <c r="J21" s="224"/>
      <c r="K21" s="224"/>
      <c r="L21" s="224"/>
      <c r="M21" s="14"/>
      <c r="N21" s="15"/>
      <c r="O21" s="15"/>
      <c r="P21" s="15"/>
      <c r="Q21" s="16"/>
    </row>
    <row r="22" spans="1:17" ht="16" customHeight="1">
      <c r="A22" s="133"/>
      <c r="B22" s="244"/>
      <c r="C22" s="188" t="s">
        <v>101</v>
      </c>
      <c r="D22" s="322"/>
      <c r="E22" s="267"/>
      <c r="F22" s="267"/>
      <c r="G22" s="323"/>
      <c r="H22" s="324"/>
      <c r="I22" s="224"/>
      <c r="J22" s="224"/>
      <c r="K22" s="224"/>
      <c r="L22" s="224"/>
      <c r="M22" s="14"/>
      <c r="N22" s="15"/>
      <c r="O22" s="15"/>
      <c r="P22" s="15"/>
      <c r="Q22" s="16"/>
    </row>
    <row r="23" spans="1:17" ht="16" customHeight="1">
      <c r="A23" s="325"/>
      <c r="B23" s="159"/>
      <c r="C23" s="233" t="s">
        <v>96</v>
      </c>
      <c r="D23" s="326">
        <v>65000</v>
      </c>
      <c r="E23" s="327"/>
      <c r="F23" s="328"/>
      <c r="G23" s="329"/>
      <c r="H23" s="330">
        <f>$D23*(1+$D25)^(H2-1)*H26</f>
        <v>65000</v>
      </c>
      <c r="I23" s="235">
        <f>$D23*(1+$D25)^(I2-1)*I26</f>
        <v>71500</v>
      </c>
      <c r="J23" s="235">
        <f>$D23*(1+$D25)^(J2-1)*J26</f>
        <v>78650.000000000015</v>
      </c>
      <c r="K23" s="235">
        <f>$D23*(1+$D25)^(K2-1)*K26</f>
        <v>86515.000000000029</v>
      </c>
      <c r="L23" s="235">
        <f>$D23*(1+$D25)^(L2-1)*L26</f>
        <v>95166.500000000029</v>
      </c>
      <c r="M23" s="331"/>
      <c r="N23" s="15"/>
      <c r="O23" s="15"/>
      <c r="P23" s="15"/>
      <c r="Q23" s="16"/>
    </row>
    <row r="24" spans="1:17" ht="16" customHeight="1">
      <c r="A24" s="133"/>
      <c r="B24" s="244"/>
      <c r="C24" s="233" t="s">
        <v>97</v>
      </c>
      <c r="D24" s="332">
        <v>1</v>
      </c>
      <c r="E24" s="272"/>
      <c r="F24" s="267"/>
      <c r="G24" s="323"/>
      <c r="H24" s="324"/>
      <c r="I24" s="224"/>
      <c r="J24" s="224"/>
      <c r="K24" s="224"/>
      <c r="L24" s="224"/>
      <c r="M24" s="14"/>
      <c r="N24" s="15"/>
      <c r="O24" s="15"/>
      <c r="P24" s="15"/>
      <c r="Q24" s="16"/>
    </row>
    <row r="25" spans="1:17" ht="16" customHeight="1">
      <c r="A25" s="133"/>
      <c r="B25" s="244"/>
      <c r="C25" s="233" t="s">
        <v>98</v>
      </c>
      <c r="D25" s="333">
        <v>0.1</v>
      </c>
      <c r="E25" s="272"/>
      <c r="F25" s="267"/>
      <c r="G25" s="323"/>
      <c r="H25" s="324"/>
      <c r="I25" s="224"/>
      <c r="J25" s="224"/>
      <c r="K25" s="224"/>
      <c r="L25" s="224"/>
      <c r="M25" s="14"/>
      <c r="N25" s="15"/>
      <c r="O25" s="15"/>
      <c r="P25" s="15"/>
      <c r="Q25" s="16"/>
    </row>
    <row r="26" spans="1:17" ht="16" customHeight="1">
      <c r="A26" s="133"/>
      <c r="B26" s="244"/>
      <c r="C26" s="334" t="s">
        <v>100</v>
      </c>
      <c r="D26" s="15"/>
      <c r="E26" s="267"/>
      <c r="F26" s="267"/>
      <c r="G26" s="323"/>
      <c r="H26" s="335">
        <f>IF(H$2&gt;=$D24,1,0)</f>
        <v>1</v>
      </c>
      <c r="I26" s="336">
        <f>IF(I$2&gt;=$D24,1,0)</f>
        <v>1</v>
      </c>
      <c r="J26" s="336">
        <f>IF(J$2&gt;=$D24,1,0)</f>
        <v>1</v>
      </c>
      <c r="K26" s="336">
        <f>IF(K$2&gt;=$D24,1,0)</f>
        <v>1</v>
      </c>
      <c r="L26" s="337">
        <f>IF(L$2&gt;=$D24,1,0)</f>
        <v>1</v>
      </c>
      <c r="M26" s="230"/>
      <c r="N26" s="15"/>
      <c r="O26" s="15"/>
      <c r="P26" s="15"/>
      <c r="Q26" s="16"/>
    </row>
    <row r="27" spans="1:17" ht="16" customHeight="1">
      <c r="A27" s="133"/>
      <c r="B27" s="244"/>
      <c r="C27" s="35"/>
      <c r="D27" s="267"/>
      <c r="E27" s="267"/>
      <c r="F27" s="267"/>
      <c r="G27" s="323"/>
      <c r="H27" s="324"/>
      <c r="I27" s="224"/>
      <c r="J27" s="224"/>
      <c r="K27" s="224"/>
      <c r="L27" s="224"/>
      <c r="M27" s="14"/>
      <c r="N27" s="15"/>
      <c r="O27" s="15"/>
      <c r="P27" s="15"/>
      <c r="Q27" s="16"/>
    </row>
    <row r="28" spans="1:17" ht="16" customHeight="1">
      <c r="A28" s="133"/>
      <c r="B28" s="343" t="str">
        <f>"Total "&amp;B7&amp;" Headcount"</f>
        <v>Total Executives Headcount</v>
      </c>
      <c r="C28" s="344"/>
      <c r="D28" s="344"/>
      <c r="E28" s="344"/>
      <c r="F28" s="344"/>
      <c r="G28" s="345"/>
      <c r="H28" s="346">
        <f>SUM(H26,H20,H13)</f>
        <v>3</v>
      </c>
      <c r="I28" s="346">
        <f t="shared" ref="I28:L28" si="1">SUM(I26,I20,I13)</f>
        <v>3</v>
      </c>
      <c r="J28" s="346">
        <f t="shared" si="1"/>
        <v>3</v>
      </c>
      <c r="K28" s="346">
        <f t="shared" si="1"/>
        <v>3</v>
      </c>
      <c r="L28" s="346">
        <f t="shared" si="1"/>
        <v>3</v>
      </c>
      <c r="M28" s="14"/>
      <c r="N28" s="15"/>
      <c r="O28" s="15"/>
      <c r="P28" s="15"/>
      <c r="Q28" s="16"/>
    </row>
    <row r="29" spans="1:17" ht="16" customHeight="1">
      <c r="A29" s="133"/>
      <c r="B29" s="348" t="str">
        <f>"Total "&amp;B7&amp;" Salaries"</f>
        <v>Total Executives Salaries</v>
      </c>
      <c r="C29" s="344"/>
      <c r="D29" s="344"/>
      <c r="E29" s="344"/>
      <c r="F29" s="344"/>
      <c r="G29" s="345"/>
      <c r="H29" s="349">
        <f>SUM(H23,H16,H9)</f>
        <v>195000</v>
      </c>
      <c r="I29" s="349">
        <f>SUM(I23,I16,I9)</f>
        <v>214500</v>
      </c>
      <c r="J29" s="349">
        <f>SUM(J23,J16,J9)</f>
        <v>235950</v>
      </c>
      <c r="K29" s="349">
        <f>SUM(K23,K16,K9)</f>
        <v>259545.00000000003</v>
      </c>
      <c r="L29" s="349">
        <f>SUM(L23,L16,L9)</f>
        <v>285499.50000000006</v>
      </c>
      <c r="M29" s="14"/>
      <c r="N29" s="15"/>
      <c r="O29" s="15"/>
      <c r="P29" s="15"/>
      <c r="Q29" s="16"/>
    </row>
    <row r="30" spans="1:17" ht="16" customHeight="1">
      <c r="A30" s="133"/>
      <c r="B30" s="95" t="s">
        <v>32</v>
      </c>
      <c r="C30" s="135"/>
      <c r="D30" s="135"/>
      <c r="E30" s="135"/>
      <c r="F30" s="135"/>
      <c r="G30" s="351"/>
      <c r="H30" s="352">
        <f>H29/Revenue!H$123</f>
        <v>0.18696366288754801</v>
      </c>
      <c r="I30" s="353">
        <f>I29/Revenue!I$123</f>
        <v>9.9608980320561244E-2</v>
      </c>
      <c r="J30" s="353">
        <f>J29/Revenue!J$123</f>
        <v>6.1671894121265003E-2</v>
      </c>
      <c r="K30" s="353">
        <f>K29/Revenue!K$123</f>
        <v>4.0216171986689281E-2</v>
      </c>
      <c r="L30" s="353">
        <f>L29/Revenue!L$123</f>
        <v>2.658278485186346E-2</v>
      </c>
      <c r="M30" s="244"/>
      <c r="N30" s="15"/>
      <c r="O30" s="15"/>
      <c r="P30" s="15"/>
      <c r="Q30" s="16"/>
    </row>
    <row r="31" spans="1:17" ht="16" customHeight="1">
      <c r="A31" s="133"/>
      <c r="B31" s="244"/>
      <c r="C31" s="35"/>
      <c r="D31" s="267"/>
      <c r="E31" s="267"/>
      <c r="F31" s="267"/>
      <c r="G31" s="323"/>
      <c r="H31" s="324"/>
      <c r="I31" s="224"/>
      <c r="J31" s="224"/>
      <c r="K31" s="224"/>
      <c r="L31" s="224"/>
      <c r="M31" s="14"/>
      <c r="N31" s="15"/>
      <c r="O31" s="15"/>
      <c r="P31" s="15"/>
      <c r="Q31" s="16"/>
    </row>
    <row r="32" spans="1:17" ht="19" customHeight="1">
      <c r="A32" s="133"/>
      <c r="B32" s="124" t="s">
        <v>102</v>
      </c>
      <c r="C32" s="35"/>
      <c r="D32" s="267"/>
      <c r="E32" s="267"/>
      <c r="F32" s="267"/>
      <c r="G32" s="323"/>
      <c r="H32" s="324"/>
      <c r="I32" s="224"/>
      <c r="J32" s="224"/>
      <c r="K32" s="224"/>
      <c r="L32" s="224"/>
      <c r="M32" s="14"/>
      <c r="N32" s="15"/>
      <c r="O32" s="15"/>
      <c r="P32" s="15"/>
      <c r="Q32" s="16"/>
    </row>
    <row r="33" spans="1:17" ht="16" customHeight="1">
      <c r="A33" s="133"/>
      <c r="B33" s="244"/>
      <c r="C33" s="188" t="s">
        <v>103</v>
      </c>
      <c r="D33" s="322"/>
      <c r="E33" s="267"/>
      <c r="F33" s="267"/>
      <c r="G33" s="323"/>
      <c r="H33" s="354"/>
      <c r="I33" s="355"/>
      <c r="J33" s="355"/>
      <c r="K33" s="355"/>
      <c r="L33" s="355"/>
      <c r="M33" s="14"/>
      <c r="N33" s="15"/>
      <c r="O33" s="15"/>
      <c r="P33" s="15"/>
      <c r="Q33" s="16"/>
    </row>
    <row r="34" spans="1:17" ht="16" customHeight="1">
      <c r="A34" s="133"/>
      <c r="B34" s="244"/>
      <c r="C34" s="233" t="s">
        <v>104</v>
      </c>
      <c r="D34" s="326">
        <v>50000</v>
      </c>
      <c r="E34" s="356"/>
      <c r="F34" s="357"/>
      <c r="G34" s="358"/>
      <c r="H34" s="324"/>
      <c r="I34" s="224"/>
      <c r="J34" s="224"/>
      <c r="K34" s="224"/>
      <c r="L34" s="224"/>
      <c r="M34" s="331"/>
      <c r="N34" s="359"/>
      <c r="O34" s="359"/>
      <c r="P34" s="359"/>
      <c r="Q34" s="360"/>
    </row>
    <row r="35" spans="1:17" ht="16" customHeight="1">
      <c r="A35" s="133"/>
      <c r="B35" s="14"/>
      <c r="C35" s="233" t="s">
        <v>98</v>
      </c>
      <c r="D35" s="333">
        <v>0.02</v>
      </c>
      <c r="E35" s="232"/>
      <c r="F35" s="221"/>
      <c r="G35" s="323"/>
      <c r="H35" s="374"/>
      <c r="I35" s="375"/>
      <c r="J35" s="375"/>
      <c r="K35" s="375"/>
      <c r="L35" s="375"/>
      <c r="M35" s="14"/>
      <c r="N35" s="15"/>
      <c r="O35" s="15"/>
      <c r="P35" s="15"/>
      <c r="Q35" s="16"/>
    </row>
    <row r="36" spans="1:17" ht="16" customHeight="1">
      <c r="A36" s="133"/>
      <c r="B36" s="244"/>
      <c r="C36" s="233" t="s">
        <v>105</v>
      </c>
      <c r="D36" s="277">
        <v>20</v>
      </c>
      <c r="E36" s="356"/>
      <c r="F36" s="357"/>
      <c r="G36" s="358"/>
      <c r="H36" s="324"/>
      <c r="I36" s="224"/>
      <c r="J36" s="224"/>
      <c r="K36" s="224"/>
      <c r="L36" s="224"/>
      <c r="M36" s="361"/>
      <c r="N36" s="359"/>
      <c r="O36" s="359"/>
      <c r="P36" s="359"/>
      <c r="Q36" s="360"/>
    </row>
    <row r="37" spans="1:17" ht="16" customHeight="1">
      <c r="A37" s="133"/>
      <c r="B37" s="244"/>
      <c r="C37" s="334" t="s">
        <v>106</v>
      </c>
      <c r="D37" s="221"/>
      <c r="E37" s="221"/>
      <c r="F37" s="221"/>
      <c r="G37" s="323"/>
      <c r="H37" s="362">
        <f>MAX(0,ROUND(SUM(H50,H58,H58,H71,H77,H91,H100,H114)/$D36,0)-3)</f>
        <v>0</v>
      </c>
      <c r="I37" s="362">
        <f>MAX(0,ROUND(SUM(I50,I58,I58,I71,I77,I91,I100,I114)/$D36,0)-3)</f>
        <v>0</v>
      </c>
      <c r="J37" s="362">
        <f>MAX(0,ROUND(SUM(J50,J58,J58,J71,J77,J91,J100,J114)/$D36,0)-3)</f>
        <v>0</v>
      </c>
      <c r="K37" s="362">
        <f>MAX(0,ROUND(SUM(K50,K58,K58,K71,K77,K91,K100,K114)/$D36,0)-3)</f>
        <v>1</v>
      </c>
      <c r="L37" s="362">
        <f>MAX(0,ROUND(SUM(L50,L58,L58,L71,L77,L91,L100,L114)/$D36,0)-3)</f>
        <v>3</v>
      </c>
      <c r="M37" s="244"/>
      <c r="N37" s="15"/>
      <c r="O37" s="15"/>
      <c r="P37" s="15"/>
      <c r="Q37" s="16"/>
    </row>
    <row r="38" spans="1:17" ht="16" customHeight="1">
      <c r="A38" s="133"/>
      <c r="B38" s="244"/>
      <c r="C38" s="334" t="s">
        <v>107</v>
      </c>
      <c r="D38" s="357"/>
      <c r="E38" s="357"/>
      <c r="F38" s="357"/>
      <c r="G38" s="358"/>
      <c r="H38" s="330">
        <f>H37*$D34*((1+$D35)^(H2-1))</f>
        <v>0</v>
      </c>
      <c r="I38" s="330">
        <f>I37*$D34*((1+$D35)^(I2-1))</f>
        <v>0</v>
      </c>
      <c r="J38" s="330">
        <f>J37*$D34*((1+$D35)^(J2-1))</f>
        <v>0</v>
      </c>
      <c r="K38" s="330">
        <f>K37*$D34*((1+$D35)^(K2-1))</f>
        <v>53060.399999999994</v>
      </c>
      <c r="L38" s="330">
        <f>L37*$D34*((1+$D35)^(L2-1))</f>
        <v>162364.82399999999</v>
      </c>
      <c r="M38" s="14"/>
      <c r="N38" s="15"/>
      <c r="O38" s="15"/>
      <c r="P38" s="15"/>
      <c r="Q38" s="16"/>
    </row>
    <row r="39" spans="1:17" ht="16" customHeight="1">
      <c r="A39" s="133"/>
      <c r="B39" s="338"/>
      <c r="C39" s="255"/>
      <c r="D39" s="339"/>
      <c r="E39" s="339"/>
      <c r="F39" s="339"/>
      <c r="G39" s="340"/>
      <c r="H39" s="341"/>
      <c r="I39" s="342"/>
      <c r="J39" s="342"/>
      <c r="K39" s="342"/>
      <c r="L39" s="342"/>
      <c r="M39" s="14"/>
      <c r="N39" s="15"/>
      <c r="O39" s="15"/>
      <c r="P39" s="15"/>
      <c r="Q39" s="16"/>
    </row>
    <row r="40" spans="1:17" ht="16" customHeight="1">
      <c r="A40" s="133"/>
      <c r="B40" s="343" t="str">
        <f>"Total "&amp;B32&amp;" Headcount"</f>
        <v>Total Management Headcount</v>
      </c>
      <c r="C40" s="344"/>
      <c r="D40" s="344"/>
      <c r="E40" s="344"/>
      <c r="F40" s="344"/>
      <c r="G40" s="345"/>
      <c r="H40" s="346">
        <f t="shared" ref="H40:L41" si="2">H37</f>
        <v>0</v>
      </c>
      <c r="I40" s="347">
        <f t="shared" si="2"/>
        <v>0</v>
      </c>
      <c r="J40" s="347">
        <f t="shared" si="2"/>
        <v>0</v>
      </c>
      <c r="K40" s="347">
        <f t="shared" si="2"/>
        <v>1</v>
      </c>
      <c r="L40" s="347">
        <f t="shared" si="2"/>
        <v>3</v>
      </c>
      <c r="M40" s="14"/>
      <c r="N40" s="15"/>
      <c r="O40" s="15"/>
      <c r="P40" s="15"/>
      <c r="Q40" s="16"/>
    </row>
    <row r="41" spans="1:17" ht="16" customHeight="1">
      <c r="A41" s="133"/>
      <c r="B41" s="348" t="str">
        <f>"Total "&amp;B32&amp;" Salaries"</f>
        <v>Total Management Salaries</v>
      </c>
      <c r="C41" s="344"/>
      <c r="D41" s="344"/>
      <c r="E41" s="344"/>
      <c r="F41" s="344"/>
      <c r="G41" s="345"/>
      <c r="H41" s="349">
        <f t="shared" si="2"/>
        <v>0</v>
      </c>
      <c r="I41" s="350">
        <f t="shared" si="2"/>
        <v>0</v>
      </c>
      <c r="J41" s="350">
        <f t="shared" si="2"/>
        <v>0</v>
      </c>
      <c r="K41" s="350">
        <f t="shared" si="2"/>
        <v>53060.399999999994</v>
      </c>
      <c r="L41" s="350">
        <f t="shared" si="2"/>
        <v>162364.82399999999</v>
      </c>
      <c r="M41" s="14"/>
      <c r="N41" s="15"/>
      <c r="O41" s="15"/>
      <c r="P41" s="15"/>
      <c r="Q41" s="16"/>
    </row>
    <row r="42" spans="1:17" ht="16" customHeight="1">
      <c r="A42" s="133"/>
      <c r="B42" s="95" t="s">
        <v>32</v>
      </c>
      <c r="C42" s="135"/>
      <c r="D42" s="135"/>
      <c r="E42" s="135"/>
      <c r="F42" s="135"/>
      <c r="G42" s="351"/>
      <c r="H42" s="352">
        <f>H41/Revenue!H$123</f>
        <v>0</v>
      </c>
      <c r="I42" s="353">
        <f>I41/Revenue!I$123</f>
        <v>0</v>
      </c>
      <c r="J42" s="353">
        <f>J41/Revenue!J$123</f>
        <v>0</v>
      </c>
      <c r="K42" s="353">
        <f>K41/Revenue!K$123</f>
        <v>8.2216423821785331E-3</v>
      </c>
      <c r="L42" s="353">
        <f>L41/Revenue!L$123</f>
        <v>1.5117746909898882E-2</v>
      </c>
      <c r="M42" s="244"/>
      <c r="N42" s="15"/>
      <c r="O42" s="15"/>
      <c r="P42" s="15"/>
      <c r="Q42" s="16"/>
    </row>
    <row r="43" spans="1:17" ht="16" customHeight="1">
      <c r="A43" s="133"/>
      <c r="B43" s="244"/>
      <c r="C43" s="35"/>
      <c r="D43" s="267"/>
      <c r="E43" s="267"/>
      <c r="F43" s="267"/>
      <c r="G43" s="323"/>
      <c r="H43" s="324"/>
      <c r="I43" s="224"/>
      <c r="J43" s="224"/>
      <c r="K43" s="224"/>
      <c r="L43" s="224"/>
      <c r="M43" s="14"/>
      <c r="N43" s="15"/>
      <c r="O43" s="15"/>
      <c r="P43" s="15"/>
      <c r="Q43" s="16"/>
    </row>
    <row r="44" spans="1:17" ht="19" customHeight="1">
      <c r="A44" s="133"/>
      <c r="B44" s="124" t="s">
        <v>108</v>
      </c>
      <c r="C44" s="35"/>
      <c r="D44" s="267"/>
      <c r="E44" s="267"/>
      <c r="F44" s="267"/>
      <c r="G44" s="323"/>
      <c r="H44" s="324"/>
      <c r="I44" s="224"/>
      <c r="J44" s="224"/>
      <c r="K44" s="224"/>
      <c r="L44" s="224"/>
      <c r="M44" s="14"/>
      <c r="N44" s="15"/>
      <c r="O44" s="15"/>
      <c r="P44" s="15"/>
      <c r="Q44" s="16"/>
    </row>
    <row r="45" spans="1:17" ht="16" customHeight="1">
      <c r="A45" s="133"/>
      <c r="B45" s="14"/>
      <c r="C45" s="364" t="s">
        <v>109</v>
      </c>
      <c r="D45" s="365"/>
      <c r="E45" s="366"/>
      <c r="F45" s="366"/>
      <c r="G45" s="367"/>
      <c r="H45" s="368"/>
      <c r="I45" s="369"/>
      <c r="J45" s="369"/>
      <c r="K45" s="370"/>
      <c r="L45" s="369"/>
      <c r="M45" s="371"/>
      <c r="N45" s="372"/>
      <c r="O45" s="372"/>
      <c r="P45" s="372"/>
      <c r="Q45" s="373"/>
    </row>
    <row r="46" spans="1:17" ht="16" customHeight="1">
      <c r="A46" s="133"/>
      <c r="B46" s="14"/>
      <c r="C46" s="233" t="s">
        <v>96</v>
      </c>
      <c r="D46" s="326">
        <v>40000</v>
      </c>
      <c r="E46" s="356"/>
      <c r="F46" s="357"/>
      <c r="G46" s="358"/>
      <c r="H46" s="330">
        <f>IF(G46&gt;0,G46*(1+$D48),IF($D47=H$2,($D46*$D49),0))</f>
        <v>0</v>
      </c>
      <c r="I46" s="235">
        <f>IF(H46&gt;0,(H46/$D49)*(1+$D48),IF($D47=I$2,$D46,0))</f>
        <v>40000</v>
      </c>
      <c r="J46" s="235">
        <f>IF(I46&gt;0,I46*(1+$D48),IF($D47=J$2,$D46,0))</f>
        <v>40800</v>
      </c>
      <c r="K46" s="235">
        <f>IF(J46&gt;0,J46*(1+$D48),IF($D47=K$2,$D46,0))</f>
        <v>41616</v>
      </c>
      <c r="L46" s="235">
        <f>IF(K46&gt;0,K46*(1+$D48),IF($D47=L$2,$D46,0))</f>
        <v>42448.32</v>
      </c>
      <c r="M46" s="331"/>
      <c r="N46" s="15"/>
      <c r="O46" s="15"/>
      <c r="P46" s="15"/>
      <c r="Q46" s="16"/>
    </row>
    <row r="47" spans="1:17" ht="16" customHeight="1">
      <c r="A47" s="133"/>
      <c r="B47" s="14"/>
      <c r="C47" s="233" t="s">
        <v>97</v>
      </c>
      <c r="D47" s="332">
        <v>2</v>
      </c>
      <c r="E47" s="232"/>
      <c r="F47" s="221"/>
      <c r="G47" s="323"/>
      <c r="H47" s="374"/>
      <c r="I47" s="375"/>
      <c r="J47" s="375"/>
      <c r="K47" s="375"/>
      <c r="L47" s="375"/>
      <c r="M47" s="14"/>
      <c r="N47" s="15"/>
      <c r="O47" s="15"/>
      <c r="P47" s="15"/>
      <c r="Q47" s="16"/>
    </row>
    <row r="48" spans="1:17" ht="16" customHeight="1">
      <c r="A48" s="133"/>
      <c r="B48" s="14"/>
      <c r="C48" s="233" t="s">
        <v>98</v>
      </c>
      <c r="D48" s="333">
        <v>0.02</v>
      </c>
      <c r="E48" s="232"/>
      <c r="F48" s="221"/>
      <c r="G48" s="323"/>
      <c r="H48" s="374"/>
      <c r="I48" s="375"/>
      <c r="J48" s="375"/>
      <c r="K48" s="375"/>
      <c r="L48" s="375"/>
      <c r="M48" s="14"/>
      <c r="N48" s="15"/>
      <c r="O48" s="15"/>
      <c r="P48" s="15"/>
      <c r="Q48" s="16"/>
    </row>
    <row r="49" spans="1:17" ht="16" customHeight="1">
      <c r="A49" s="133"/>
      <c r="B49" s="14"/>
      <c r="C49" s="233" t="s">
        <v>99</v>
      </c>
      <c r="D49" s="254">
        <v>1</v>
      </c>
      <c r="E49" s="232"/>
      <c r="F49" s="221"/>
      <c r="G49" s="323"/>
      <c r="H49" s="374"/>
      <c r="I49" s="375"/>
      <c r="J49" s="375"/>
      <c r="K49" s="375"/>
      <c r="L49" s="375"/>
      <c r="M49" s="14"/>
      <c r="N49" s="15"/>
      <c r="O49" s="15"/>
      <c r="P49" s="15"/>
      <c r="Q49" s="16"/>
    </row>
    <row r="50" spans="1:17" ht="16" customHeight="1">
      <c r="A50" s="133"/>
      <c r="B50" s="14"/>
      <c r="C50" s="334" t="s">
        <v>100</v>
      </c>
      <c r="D50" s="15"/>
      <c r="E50" s="221"/>
      <c r="F50" s="221"/>
      <c r="G50" s="323"/>
      <c r="H50" s="376">
        <f>IF(H46&gt;0,1,0)</f>
        <v>0</v>
      </c>
      <c r="I50" s="249">
        <f>IF(I46&gt;0,1,0)</f>
        <v>1</v>
      </c>
      <c r="J50" s="249">
        <f>IF(J46&gt;0,1,0)</f>
        <v>1</v>
      </c>
      <c r="K50" s="249">
        <f>IF(K46&gt;0,1,0)</f>
        <v>1</v>
      </c>
      <c r="L50" s="249">
        <f>IF(L46&gt;0,1,0)</f>
        <v>1</v>
      </c>
      <c r="M50" s="14"/>
      <c r="N50" s="15"/>
      <c r="O50" s="15"/>
      <c r="P50" s="15"/>
      <c r="Q50" s="16"/>
    </row>
    <row r="51" spans="1:17" ht="16" customHeight="1">
      <c r="A51" s="133"/>
      <c r="B51" s="14"/>
      <c r="C51" s="221"/>
      <c r="D51" s="221"/>
      <c r="E51" s="221"/>
      <c r="F51" s="221"/>
      <c r="G51" s="323"/>
      <c r="H51" s="377"/>
      <c r="I51" s="370"/>
      <c r="J51" s="370"/>
      <c r="K51" s="378"/>
      <c r="L51" s="370"/>
      <c r="M51" s="379"/>
      <c r="N51" s="380"/>
      <c r="O51" s="380"/>
      <c r="P51" s="380"/>
      <c r="Q51" s="381"/>
    </row>
    <row r="52" spans="1:17" ht="16" customHeight="1">
      <c r="A52" s="133"/>
      <c r="B52" s="14"/>
      <c r="C52" s="364" t="s">
        <v>110</v>
      </c>
      <c r="D52" s="228"/>
      <c r="E52" s="221"/>
      <c r="F52" s="221"/>
      <c r="G52" s="323"/>
      <c r="H52" s="377"/>
      <c r="I52" s="370"/>
      <c r="J52" s="370"/>
      <c r="K52" s="363"/>
      <c r="L52" s="370"/>
      <c r="M52" s="331"/>
      <c r="N52" s="380"/>
      <c r="O52" s="380"/>
      <c r="P52" s="380"/>
      <c r="Q52" s="381"/>
    </row>
    <row r="53" spans="1:17" ht="16" customHeight="1">
      <c r="A53" s="133"/>
      <c r="B53" s="14"/>
      <c r="C53" s="233" t="s">
        <v>104</v>
      </c>
      <c r="D53" s="326">
        <v>45000</v>
      </c>
      <c r="E53" s="356"/>
      <c r="F53" s="357"/>
      <c r="G53" s="358"/>
      <c r="H53" s="382"/>
      <c r="I53" s="383"/>
      <c r="J53" s="383"/>
      <c r="K53" s="370"/>
      <c r="L53" s="383"/>
      <c r="M53" s="331"/>
      <c r="N53" s="359"/>
      <c r="O53" s="359"/>
      <c r="P53" s="359"/>
      <c r="Q53" s="360"/>
    </row>
    <row r="54" spans="1:17" ht="16" customHeight="1">
      <c r="A54" s="133"/>
      <c r="B54" s="14"/>
      <c r="C54" s="233" t="s">
        <v>98</v>
      </c>
      <c r="D54" s="333">
        <v>0.02</v>
      </c>
      <c r="E54" s="232"/>
      <c r="F54" s="221"/>
      <c r="G54" s="323"/>
      <c r="H54" s="374"/>
      <c r="I54" s="375"/>
      <c r="J54" s="375"/>
      <c r="K54" s="375"/>
      <c r="L54" s="375"/>
      <c r="M54" s="14"/>
      <c r="N54" s="15"/>
      <c r="O54" s="15"/>
      <c r="P54" s="15"/>
      <c r="Q54" s="16"/>
    </row>
    <row r="55" spans="1:17" ht="16" customHeight="1">
      <c r="A55" s="133"/>
      <c r="B55" s="14"/>
      <c r="C55" s="233" t="s">
        <v>111</v>
      </c>
      <c r="D55" s="254">
        <v>300</v>
      </c>
      <c r="E55" s="230"/>
      <c r="F55" s="357"/>
      <c r="G55" s="358"/>
      <c r="H55" s="382"/>
      <c r="I55" s="383"/>
      <c r="J55" s="383"/>
      <c r="K55" s="370"/>
      <c r="L55" s="383"/>
      <c r="M55" s="331"/>
      <c r="N55" s="359"/>
      <c r="O55" s="359"/>
      <c r="P55" s="359"/>
      <c r="Q55" s="360"/>
    </row>
    <row r="56" spans="1:17" ht="16" customHeight="1">
      <c r="A56" s="133"/>
      <c r="B56" s="14"/>
      <c r="C56" s="334" t="s">
        <v>106</v>
      </c>
      <c r="D56" s="221"/>
      <c r="E56" s="357"/>
      <c r="F56" s="221"/>
      <c r="G56" s="323"/>
      <c r="H56" s="384">
        <f>ROUND(Revenue!H23/D55,)</f>
        <v>6</v>
      </c>
      <c r="I56" s="385">
        <f>ROUND(Revenue!I23/$D55,0)</f>
        <v>9</v>
      </c>
      <c r="J56" s="385">
        <f>ROUND(Revenue!J23/$D55,0)</f>
        <v>14</v>
      </c>
      <c r="K56" s="385">
        <f>ROUND(Revenue!K23/$D55,0)</f>
        <v>23</v>
      </c>
      <c r="L56" s="385">
        <f>ROUND(Revenue!L23/$D55,0)</f>
        <v>38</v>
      </c>
      <c r="M56" s="14"/>
      <c r="N56" s="15"/>
      <c r="O56" s="15"/>
      <c r="P56" s="15"/>
      <c r="Q56" s="16"/>
    </row>
    <row r="57" spans="1:17" ht="16" customHeight="1">
      <c r="A57" s="133"/>
      <c r="B57" s="14"/>
      <c r="C57" s="334" t="s">
        <v>112</v>
      </c>
      <c r="D57" s="221"/>
      <c r="E57" s="221"/>
      <c r="F57" s="221"/>
      <c r="G57" s="323"/>
      <c r="H57" s="386">
        <v>10</v>
      </c>
      <c r="I57" s="387">
        <v>8</v>
      </c>
      <c r="J57" s="387">
        <v>6</v>
      </c>
      <c r="K57" s="387">
        <v>0</v>
      </c>
      <c r="L57" s="387">
        <v>0</v>
      </c>
      <c r="M57" s="388"/>
      <c r="N57" s="15"/>
      <c r="O57" s="15"/>
      <c r="P57" s="15"/>
      <c r="Q57" s="16"/>
    </row>
    <row r="58" spans="1:17" ht="16" customHeight="1">
      <c r="A58" s="133"/>
      <c r="B58" s="14"/>
      <c r="C58" s="334" t="s">
        <v>113</v>
      </c>
      <c r="D58" s="221"/>
      <c r="E58" s="221"/>
      <c r="F58" s="221"/>
      <c r="G58" s="323"/>
      <c r="H58" s="362">
        <f>H56+H57</f>
        <v>16</v>
      </c>
      <c r="I58" s="363">
        <f>I56+I57</f>
        <v>17</v>
      </c>
      <c r="J58" s="363">
        <f>J56+J57</f>
        <v>20</v>
      </c>
      <c r="K58" s="363">
        <f>K56+K57</f>
        <v>23</v>
      </c>
      <c r="L58" s="363">
        <f>L56+L57</f>
        <v>38</v>
      </c>
      <c r="M58" s="14"/>
      <c r="N58" s="15"/>
      <c r="O58" s="15"/>
      <c r="P58" s="15"/>
      <c r="Q58" s="16"/>
    </row>
    <row r="59" spans="1:17" ht="16" customHeight="1">
      <c r="A59" s="133"/>
      <c r="B59" s="14"/>
      <c r="C59" s="334" t="s">
        <v>107</v>
      </c>
      <c r="D59" s="357"/>
      <c r="E59" s="357"/>
      <c r="F59" s="357"/>
      <c r="G59" s="358"/>
      <c r="H59" s="330">
        <f>H58*$D53*((1+$D54)^(H2-1))</f>
        <v>720000</v>
      </c>
      <c r="I59" s="330">
        <f>I58*$D53*((1+$D54)^(I2-1))</f>
        <v>780300</v>
      </c>
      <c r="J59" s="330">
        <f>J58*$D53*((1+$D54)^(J2-1))</f>
        <v>936360</v>
      </c>
      <c r="K59" s="330">
        <f>K58*$D53*((1+$D54)^(K2-1))</f>
        <v>1098350.28</v>
      </c>
      <c r="L59" s="330">
        <f>L58*$D53*((1+$D54)^(L2-1))</f>
        <v>1850958.9935999999</v>
      </c>
      <c r="M59" s="14"/>
      <c r="N59" s="15"/>
      <c r="O59" s="15"/>
      <c r="P59" s="15"/>
      <c r="Q59" s="16"/>
    </row>
    <row r="60" spans="1:17" ht="16" customHeight="1">
      <c r="A60" s="133"/>
      <c r="B60" s="162"/>
      <c r="C60" s="255"/>
      <c r="D60" s="339"/>
      <c r="E60" s="339"/>
      <c r="F60" s="339"/>
      <c r="G60" s="340"/>
      <c r="H60" s="341"/>
      <c r="I60" s="342"/>
      <c r="J60" s="342"/>
      <c r="K60" s="342"/>
      <c r="L60" s="342"/>
      <c r="M60" s="14"/>
      <c r="N60" s="15"/>
      <c r="O60" s="15"/>
      <c r="P60" s="15"/>
      <c r="Q60" s="16"/>
    </row>
    <row r="61" spans="1:17" ht="16" customHeight="1">
      <c r="A61" s="133"/>
      <c r="B61" s="343" t="str">
        <f>"Total "&amp;B44&amp;" Headcount"</f>
        <v>Total Technology development Headcount</v>
      </c>
      <c r="C61" s="344"/>
      <c r="D61" s="344"/>
      <c r="E61" s="344"/>
      <c r="F61" s="344"/>
      <c r="G61" s="345"/>
      <c r="H61" s="389">
        <f>SUM(H50,H58)</f>
        <v>16</v>
      </c>
      <c r="I61" s="390">
        <f>SUM(I50,I58)</f>
        <v>18</v>
      </c>
      <c r="J61" s="390">
        <f>SUM(J50,J58)</f>
        <v>21</v>
      </c>
      <c r="K61" s="390">
        <f>SUM(K50,K58)</f>
        <v>24</v>
      </c>
      <c r="L61" s="390">
        <f>SUM(L50,L58)</f>
        <v>39</v>
      </c>
      <c r="M61" s="14"/>
      <c r="N61" s="15"/>
      <c r="O61" s="15"/>
      <c r="P61" s="15"/>
      <c r="Q61" s="16"/>
    </row>
    <row r="62" spans="1:17" ht="16" customHeight="1">
      <c r="A62" s="133"/>
      <c r="B62" s="348" t="str">
        <f>"Total "&amp;B44&amp;" Salaries"</f>
        <v>Total Technology development Salaries</v>
      </c>
      <c r="C62" s="344"/>
      <c r="D62" s="344"/>
      <c r="E62" s="344"/>
      <c r="F62" s="344"/>
      <c r="G62" s="345"/>
      <c r="H62" s="349">
        <f>H46+H59</f>
        <v>720000</v>
      </c>
      <c r="I62" s="350">
        <f>I46+I59</f>
        <v>820300</v>
      </c>
      <c r="J62" s="350">
        <f>J46+J59</f>
        <v>977160</v>
      </c>
      <c r="K62" s="350">
        <f>K46+K59</f>
        <v>1139966.28</v>
      </c>
      <c r="L62" s="350">
        <f>L46+L59</f>
        <v>1893407.3136</v>
      </c>
      <c r="M62" s="14"/>
      <c r="N62" s="15"/>
      <c r="O62" s="15"/>
      <c r="P62" s="15"/>
      <c r="Q62" s="16"/>
    </row>
    <row r="63" spans="1:17" ht="16" customHeight="1">
      <c r="A63" s="133"/>
      <c r="B63" s="95" t="s">
        <v>32</v>
      </c>
      <c r="C63" s="135"/>
      <c r="D63" s="135"/>
      <c r="E63" s="135"/>
      <c r="F63" s="135"/>
      <c r="G63" s="351"/>
      <c r="H63" s="352">
        <f>H62/Revenue!H$123</f>
        <v>0.69032737066171579</v>
      </c>
      <c r="I63" s="353">
        <f>I62/Revenue!I$123</f>
        <v>0.38092888837741906</v>
      </c>
      <c r="J63" s="353">
        <f>J62/Revenue!J$123</f>
        <v>0.25540711192852433</v>
      </c>
      <c r="K63" s="353">
        <f>K62/Revenue!K$123</f>
        <v>0.17663634427751018</v>
      </c>
      <c r="L63" s="353">
        <f>L62/Revenue!L$123</f>
        <v>0.17629466690615417</v>
      </c>
      <c r="M63" s="244"/>
      <c r="N63" s="15"/>
      <c r="O63" s="15"/>
      <c r="P63" s="15"/>
      <c r="Q63" s="16"/>
    </row>
    <row r="64" spans="1:17" ht="19" customHeight="1">
      <c r="A64" s="133"/>
      <c r="B64" s="391"/>
      <c r="C64" s="35"/>
      <c r="D64" s="267"/>
      <c r="E64" s="267"/>
      <c r="F64" s="267"/>
      <c r="G64" s="323"/>
      <c r="H64" s="324"/>
      <c r="I64" s="224"/>
      <c r="J64" s="224"/>
      <c r="K64" s="224"/>
      <c r="L64" s="224"/>
      <c r="M64" s="14"/>
      <c r="N64" s="15"/>
      <c r="O64" s="15"/>
      <c r="P64" s="15"/>
      <c r="Q64" s="16"/>
    </row>
    <row r="65" spans="1:17" ht="19" customHeight="1">
      <c r="A65" s="133"/>
      <c r="B65" s="124" t="s">
        <v>114</v>
      </c>
      <c r="C65" s="35"/>
      <c r="D65" s="267"/>
      <c r="E65" s="267"/>
      <c r="F65" s="267"/>
      <c r="G65" s="323"/>
      <c r="H65" s="324"/>
      <c r="I65" s="224"/>
      <c r="J65" s="224"/>
      <c r="K65" s="224"/>
      <c r="L65" s="224"/>
      <c r="M65" s="14"/>
      <c r="N65" s="15"/>
      <c r="O65" s="15"/>
      <c r="P65" s="15"/>
      <c r="Q65" s="16"/>
    </row>
    <row r="66" spans="1:17" ht="16" customHeight="1">
      <c r="A66" s="133"/>
      <c r="B66" s="14"/>
      <c r="C66" s="364" t="s">
        <v>115</v>
      </c>
      <c r="D66" s="365"/>
      <c r="E66" s="366"/>
      <c r="F66" s="366"/>
      <c r="G66" s="367"/>
      <c r="H66" s="392"/>
      <c r="I66" s="393"/>
      <c r="J66" s="393"/>
      <c r="K66" s="84"/>
      <c r="L66" s="393"/>
      <c r="M66" s="371"/>
      <c r="N66" s="372"/>
      <c r="O66" s="372"/>
      <c r="P66" s="372"/>
      <c r="Q66" s="373"/>
    </row>
    <row r="67" spans="1:17" ht="16" customHeight="1">
      <c r="A67" s="133"/>
      <c r="B67" s="14"/>
      <c r="C67" s="233" t="s">
        <v>96</v>
      </c>
      <c r="D67" s="326">
        <v>30000</v>
      </c>
      <c r="E67" s="356"/>
      <c r="F67" s="357"/>
      <c r="G67" s="358"/>
      <c r="H67" s="330">
        <f>IF(G67&gt;0,G67*(1+$D69),IF($D68=H$2,($D67*$D70),0))</f>
        <v>0</v>
      </c>
      <c r="I67" s="235">
        <f>IF(H67&gt;0,(H67/$D70)*(1+$D69),IF($D68=I$2,$D67,0))</f>
        <v>0</v>
      </c>
      <c r="J67" s="235">
        <f>IF(I67&gt;0,I67*(1+$D69),IF($D68=J$2,$D67,0))</f>
        <v>0</v>
      </c>
      <c r="K67" s="235">
        <f>IF(J67&gt;0,J67*(1+$D69),IF($D68=K$2,$D67,0))</f>
        <v>0</v>
      </c>
      <c r="L67" s="235">
        <f>IF(K67&gt;0,K67*(1+$D69),IF($D68=L$2,$D67,0))</f>
        <v>0</v>
      </c>
      <c r="M67" s="331"/>
      <c r="N67" s="15"/>
      <c r="O67" s="15"/>
      <c r="P67" s="15"/>
      <c r="Q67" s="16"/>
    </row>
    <row r="68" spans="1:17" ht="16" customHeight="1">
      <c r="A68" s="133"/>
      <c r="B68" s="14"/>
      <c r="C68" s="233" t="s">
        <v>97</v>
      </c>
      <c r="D68" s="332">
        <v>6</v>
      </c>
      <c r="E68" s="232"/>
      <c r="F68" s="221"/>
      <c r="G68" s="323"/>
      <c r="H68" s="374"/>
      <c r="I68" s="375"/>
      <c r="J68" s="375"/>
      <c r="K68" s="375"/>
      <c r="L68" s="375"/>
      <c r="M68" s="14"/>
      <c r="N68" s="15"/>
      <c r="O68" s="15"/>
      <c r="P68" s="15"/>
      <c r="Q68" s="16"/>
    </row>
    <row r="69" spans="1:17" ht="16" customHeight="1">
      <c r="A69" s="133"/>
      <c r="B69" s="14"/>
      <c r="C69" s="233" t="s">
        <v>98</v>
      </c>
      <c r="D69" s="333">
        <v>0.05</v>
      </c>
      <c r="E69" s="232"/>
      <c r="F69" s="221"/>
      <c r="G69" s="323"/>
      <c r="H69" s="374"/>
      <c r="I69" s="375"/>
      <c r="J69" s="375"/>
      <c r="K69" s="375"/>
      <c r="L69" s="375"/>
      <c r="M69" s="14"/>
      <c r="N69" s="15"/>
      <c r="O69" s="15"/>
      <c r="P69" s="15"/>
      <c r="Q69" s="16"/>
    </row>
    <row r="70" spans="1:17" ht="16" customHeight="1">
      <c r="A70" s="133"/>
      <c r="B70" s="14"/>
      <c r="C70" s="233" t="s">
        <v>99</v>
      </c>
      <c r="D70" s="254">
        <v>1</v>
      </c>
      <c r="E70" s="232"/>
      <c r="F70" s="221"/>
      <c r="G70" s="323"/>
      <c r="H70" s="374"/>
      <c r="I70" s="375"/>
      <c r="J70" s="375"/>
      <c r="K70" s="375"/>
      <c r="L70" s="375"/>
      <c r="M70" s="14"/>
      <c r="N70" s="15"/>
      <c r="O70" s="15"/>
      <c r="P70" s="15"/>
      <c r="Q70" s="16"/>
    </row>
    <row r="71" spans="1:17" ht="16" customHeight="1">
      <c r="A71" s="133"/>
      <c r="B71" s="14"/>
      <c r="C71" s="334" t="s">
        <v>100</v>
      </c>
      <c r="D71" s="15"/>
      <c r="E71" s="221"/>
      <c r="F71" s="221"/>
      <c r="G71" s="323"/>
      <c r="H71" s="376">
        <f>IF(H67&gt;0,1,0)</f>
        <v>0</v>
      </c>
      <c r="I71" s="249">
        <f>IF(I67&gt;0,1,0)</f>
        <v>0</v>
      </c>
      <c r="J71" s="249">
        <f>IF(J67&gt;0,1,0)</f>
        <v>0</v>
      </c>
      <c r="K71" s="249">
        <f>IF(K67&gt;0,1,0)</f>
        <v>0</v>
      </c>
      <c r="L71" s="249">
        <f>IF(L67&gt;0,1,0)</f>
        <v>0</v>
      </c>
      <c r="M71" s="14"/>
      <c r="N71" s="15"/>
      <c r="O71" s="15"/>
      <c r="P71" s="15"/>
      <c r="Q71" s="16"/>
    </row>
    <row r="72" spans="1:17" ht="19" customHeight="1">
      <c r="A72" s="133"/>
      <c r="B72" s="391"/>
      <c r="C72" s="35"/>
      <c r="D72" s="267"/>
      <c r="E72" s="267"/>
      <c r="F72" s="267"/>
      <c r="G72" s="323"/>
      <c r="H72" s="324"/>
      <c r="I72" s="224"/>
      <c r="J72" s="224"/>
      <c r="K72" s="224"/>
      <c r="L72" s="224"/>
      <c r="M72" s="14"/>
      <c r="N72" s="15"/>
      <c r="O72" s="15"/>
      <c r="P72" s="15"/>
      <c r="Q72" s="16"/>
    </row>
    <row r="73" spans="1:17" ht="16" customHeight="1">
      <c r="A73" s="133"/>
      <c r="B73" s="14"/>
      <c r="C73" s="364" t="s">
        <v>116</v>
      </c>
      <c r="D73" s="228"/>
      <c r="E73" s="221"/>
      <c r="F73" s="221"/>
      <c r="G73" s="323"/>
      <c r="H73" s="377"/>
      <c r="I73" s="370"/>
      <c r="J73" s="370"/>
      <c r="K73" s="363"/>
      <c r="L73" s="370"/>
      <c r="M73" s="331"/>
      <c r="N73" s="380"/>
      <c r="O73" s="380"/>
      <c r="P73" s="380"/>
      <c r="Q73" s="381"/>
    </row>
    <row r="74" spans="1:17" ht="16" customHeight="1">
      <c r="A74" s="133"/>
      <c r="B74" s="14"/>
      <c r="C74" s="233" t="s">
        <v>104</v>
      </c>
      <c r="D74" s="326">
        <v>40000</v>
      </c>
      <c r="E74" s="356"/>
      <c r="F74" s="357"/>
      <c r="G74" s="358"/>
      <c r="H74" s="382"/>
      <c r="I74" s="383"/>
      <c r="J74" s="383"/>
      <c r="K74" s="107"/>
      <c r="L74" s="383"/>
      <c r="M74" s="331"/>
      <c r="N74" s="359"/>
      <c r="O74" s="359"/>
      <c r="P74" s="359"/>
      <c r="Q74" s="360"/>
    </row>
    <row r="75" spans="1:17" ht="16" customHeight="1">
      <c r="A75" s="133"/>
      <c r="B75" s="14"/>
      <c r="C75" s="233" t="s">
        <v>98</v>
      </c>
      <c r="D75" s="333">
        <v>0.1</v>
      </c>
      <c r="E75" s="232"/>
      <c r="F75" s="221"/>
      <c r="G75" s="323"/>
      <c r="H75" s="374"/>
      <c r="I75" s="375"/>
      <c r="J75" s="375"/>
      <c r="K75" s="375"/>
      <c r="L75" s="375"/>
      <c r="M75" s="14"/>
      <c r="N75" s="15"/>
      <c r="O75" s="15"/>
      <c r="P75" s="15"/>
      <c r="Q75" s="16"/>
    </row>
    <row r="76" spans="1:17" ht="16" customHeight="1">
      <c r="A76" s="133"/>
      <c r="B76" s="14"/>
      <c r="C76" s="233" t="s">
        <v>117</v>
      </c>
      <c r="D76" s="254">
        <v>50000</v>
      </c>
      <c r="E76" s="356"/>
      <c r="F76" s="357"/>
      <c r="G76" s="358"/>
      <c r="H76" s="382"/>
      <c r="I76" s="383"/>
      <c r="J76" s="383"/>
      <c r="K76" s="107"/>
      <c r="L76" s="383"/>
      <c r="M76" s="331"/>
      <c r="N76" s="359"/>
      <c r="O76" s="359"/>
      <c r="P76" s="359"/>
      <c r="Q76" s="360"/>
    </row>
    <row r="77" spans="1:17" ht="16" customHeight="1">
      <c r="A77" s="133"/>
      <c r="B77" s="14"/>
      <c r="C77" s="334" t="s">
        <v>106</v>
      </c>
      <c r="D77" s="221"/>
      <c r="E77" s="221"/>
      <c r="F77" s="221"/>
      <c r="G77" s="323"/>
      <c r="H77" s="394">
        <f>ROUND(Revenue!H19/$D76,0)</f>
        <v>4</v>
      </c>
      <c r="I77" s="394">
        <f>ROUND(Revenue!I19/$D76,0)</f>
        <v>6</v>
      </c>
      <c r="J77" s="394">
        <f>ROUND(Revenue!J19/$D76,0)</f>
        <v>10</v>
      </c>
      <c r="K77" s="394">
        <f>ROUND(Revenue!K19/$D76,0)</f>
        <v>15</v>
      </c>
      <c r="L77" s="384">
        <f>ROUND(Revenue!L19/$D76,0)</f>
        <v>25</v>
      </c>
      <c r="M77" s="14"/>
      <c r="N77" s="15"/>
      <c r="O77" s="15"/>
      <c r="P77" s="15"/>
      <c r="Q77" s="16"/>
    </row>
    <row r="78" spans="1:17" ht="16" customHeight="1">
      <c r="A78" s="133"/>
      <c r="B78" s="14"/>
      <c r="C78" s="334" t="s">
        <v>118</v>
      </c>
      <c r="D78" s="221"/>
      <c r="E78" s="221"/>
      <c r="F78" s="221"/>
      <c r="G78" s="323"/>
      <c r="H78" s="386">
        <v>4</v>
      </c>
      <c r="I78" s="387">
        <v>4</v>
      </c>
      <c r="J78" s="387">
        <v>3</v>
      </c>
      <c r="K78" s="387">
        <v>0</v>
      </c>
      <c r="L78" s="387">
        <v>0</v>
      </c>
      <c r="M78" s="14"/>
      <c r="N78" s="15"/>
      <c r="O78" s="15"/>
      <c r="P78" s="15"/>
      <c r="Q78" s="16"/>
    </row>
    <row r="79" spans="1:17" ht="16" customHeight="1">
      <c r="A79" s="133"/>
      <c r="B79" s="14"/>
      <c r="C79" s="334" t="s">
        <v>113</v>
      </c>
      <c r="D79" s="221"/>
      <c r="E79" s="221"/>
      <c r="F79" s="221"/>
      <c r="G79" s="323"/>
      <c r="H79" s="362">
        <f>H77+H78</f>
        <v>8</v>
      </c>
      <c r="I79" s="363">
        <f>I77+I78</f>
        <v>10</v>
      </c>
      <c r="J79" s="363">
        <f>J77+J78</f>
        <v>13</v>
      </c>
      <c r="K79" s="363">
        <f>K77+K78</f>
        <v>15</v>
      </c>
      <c r="L79" s="363">
        <f>L77+L78</f>
        <v>25</v>
      </c>
      <c r="M79" s="14"/>
      <c r="N79" s="15"/>
      <c r="O79" s="15"/>
      <c r="P79" s="15"/>
      <c r="Q79" s="16"/>
    </row>
    <row r="80" spans="1:17" ht="16" customHeight="1">
      <c r="A80" s="133"/>
      <c r="B80" s="14"/>
      <c r="C80" s="334" t="s">
        <v>107</v>
      </c>
      <c r="D80" s="357"/>
      <c r="E80" s="357"/>
      <c r="F80" s="357"/>
      <c r="G80" s="358"/>
      <c r="H80" s="330">
        <f>H79*$D74*((1+$D75)^(H2-1))</f>
        <v>320000</v>
      </c>
      <c r="I80" s="330">
        <f>I79*$D74*((1+$D75)^(I2-1))</f>
        <v>440000.00000000006</v>
      </c>
      <c r="J80" s="330">
        <f>J79*$D74*((1+$D75)^(J2-1))</f>
        <v>629200.00000000012</v>
      </c>
      <c r="K80" s="330">
        <f>K79*$D74*((1+$D75)^(K2-1))</f>
        <v>798600.00000000023</v>
      </c>
      <c r="L80" s="330">
        <f>L79*$D74*((1+$D75)^(L2-1))</f>
        <v>1464100.0000000005</v>
      </c>
      <c r="M80" s="388"/>
      <c r="N80" s="15"/>
      <c r="O80" s="15"/>
      <c r="P80" s="15"/>
      <c r="Q80" s="16"/>
    </row>
    <row r="81" spans="1:17" ht="19" customHeight="1">
      <c r="A81" s="133"/>
      <c r="B81" s="395"/>
      <c r="C81" s="255"/>
      <c r="D81" s="339"/>
      <c r="E81" s="339"/>
      <c r="F81" s="339"/>
      <c r="G81" s="340"/>
      <c r="H81" s="341"/>
      <c r="I81" s="342"/>
      <c r="J81" s="342"/>
      <c r="K81" s="342"/>
      <c r="L81" s="342"/>
      <c r="M81" s="14"/>
      <c r="N81" s="15"/>
      <c r="O81" s="15"/>
      <c r="P81" s="15"/>
      <c r="Q81" s="16"/>
    </row>
    <row r="82" spans="1:17" ht="16" customHeight="1">
      <c r="A82" s="133"/>
      <c r="B82" s="343" t="str">
        <f>"Total "&amp;B65&amp;" Headcount"</f>
        <v>Total Sales and marketing Headcount</v>
      </c>
      <c r="C82" s="344"/>
      <c r="D82" s="344"/>
      <c r="E82" s="344"/>
      <c r="F82" s="344"/>
      <c r="G82" s="345"/>
      <c r="H82" s="389">
        <f>SUM(H71,H79)</f>
        <v>8</v>
      </c>
      <c r="I82" s="390">
        <f>SUM(I71,I79)</f>
        <v>10</v>
      </c>
      <c r="J82" s="390">
        <f>SUM(J71,J79)</f>
        <v>13</v>
      </c>
      <c r="K82" s="390">
        <f>SUM(K71,K79)</f>
        <v>15</v>
      </c>
      <c r="L82" s="390">
        <f>SUM(L71,L79)</f>
        <v>25</v>
      </c>
      <c r="M82" s="14"/>
      <c r="N82" s="15"/>
      <c r="O82" s="15"/>
      <c r="P82" s="15"/>
      <c r="Q82" s="16"/>
    </row>
    <row r="83" spans="1:17" ht="16" customHeight="1">
      <c r="A83" s="133"/>
      <c r="B83" s="348" t="str">
        <f>"Total "&amp;B65&amp;" Salaries"</f>
        <v>Total Sales and marketing Salaries</v>
      </c>
      <c r="C83" s="344"/>
      <c r="D83" s="344"/>
      <c r="E83" s="344"/>
      <c r="F83" s="344"/>
      <c r="G83" s="345"/>
      <c r="H83" s="349">
        <f>H67+H80</f>
        <v>320000</v>
      </c>
      <c r="I83" s="350">
        <f>I67+I80</f>
        <v>440000.00000000006</v>
      </c>
      <c r="J83" s="350">
        <f>J67+J80</f>
        <v>629200.00000000012</v>
      </c>
      <c r="K83" s="350">
        <f>K67+K80</f>
        <v>798600.00000000023</v>
      </c>
      <c r="L83" s="350">
        <f>L67+L80</f>
        <v>1464100.0000000005</v>
      </c>
      <c r="M83" s="14"/>
      <c r="N83" s="15"/>
      <c r="O83" s="15"/>
      <c r="P83" s="15"/>
      <c r="Q83" s="16"/>
    </row>
    <row r="84" spans="1:17" ht="16" customHeight="1">
      <c r="A84" s="133"/>
      <c r="B84" s="95" t="s">
        <v>32</v>
      </c>
      <c r="C84" s="135"/>
      <c r="D84" s="135"/>
      <c r="E84" s="135"/>
      <c r="F84" s="135"/>
      <c r="G84" s="136"/>
      <c r="H84" s="353">
        <f>H83/Revenue!H$123</f>
        <v>0.30681216473854034</v>
      </c>
      <c r="I84" s="353">
        <f>I83/Revenue!I$123</f>
        <v>0.20432611347807436</v>
      </c>
      <c r="J84" s="353">
        <f>J83/Revenue!J$123</f>
        <v>0.16445838432337337</v>
      </c>
      <c r="K84" s="353">
        <f>K83/Revenue!K$123</f>
        <v>0.12374206765135165</v>
      </c>
      <c r="L84" s="353">
        <f>L83/Revenue!L$123</f>
        <v>0.13632197359929982</v>
      </c>
      <c r="M84" s="244"/>
      <c r="N84" s="15"/>
      <c r="O84" s="15"/>
      <c r="P84" s="15"/>
      <c r="Q84" s="16"/>
    </row>
    <row r="85" spans="1:17" ht="16" customHeight="1">
      <c r="A85" s="133"/>
      <c r="B85" s="14"/>
      <c r="C85" s="35"/>
      <c r="D85" s="267"/>
      <c r="E85" s="267"/>
      <c r="F85" s="267"/>
      <c r="G85" s="323"/>
      <c r="H85" s="324"/>
      <c r="I85" s="224"/>
      <c r="J85" s="224"/>
      <c r="K85" s="224"/>
      <c r="L85" s="224"/>
      <c r="M85" s="14"/>
      <c r="N85" s="15"/>
      <c r="O85" s="15"/>
      <c r="P85" s="15"/>
      <c r="Q85" s="16"/>
    </row>
    <row r="86" spans="1:17" ht="19" customHeight="1">
      <c r="A86" s="133"/>
      <c r="B86" s="124" t="s">
        <v>119</v>
      </c>
      <c r="C86" s="35"/>
      <c r="D86" s="267"/>
      <c r="E86" s="267"/>
      <c r="F86" s="267"/>
      <c r="G86" s="323"/>
      <c r="H86" s="324"/>
      <c r="I86" s="224"/>
      <c r="J86" s="224"/>
      <c r="K86" s="224"/>
      <c r="L86" s="224"/>
      <c r="M86" s="14"/>
      <c r="N86" s="15"/>
      <c r="O86" s="15"/>
      <c r="P86" s="15"/>
      <c r="Q86" s="16"/>
    </row>
    <row r="87" spans="1:17" ht="16" customHeight="1">
      <c r="A87" s="133"/>
      <c r="B87" s="14"/>
      <c r="C87" s="502" t="s">
        <v>120</v>
      </c>
      <c r="D87" s="228"/>
      <c r="E87" s="221"/>
      <c r="F87" s="221"/>
      <c r="G87" s="323"/>
      <c r="H87" s="377"/>
      <c r="I87" s="370"/>
      <c r="J87" s="370"/>
      <c r="K87" s="363"/>
      <c r="L87" s="370"/>
      <c r="M87" s="379"/>
      <c r="N87" s="380"/>
      <c r="O87" s="380"/>
      <c r="P87" s="380"/>
      <c r="Q87" s="381"/>
    </row>
    <row r="88" spans="1:17" ht="16" customHeight="1">
      <c r="A88" s="133"/>
      <c r="B88" s="14"/>
      <c r="C88" s="233" t="s">
        <v>104</v>
      </c>
      <c r="D88" s="326">
        <v>40000</v>
      </c>
      <c r="E88" s="356"/>
      <c r="F88" s="357"/>
      <c r="G88" s="358"/>
      <c r="H88" s="382"/>
      <c r="I88" s="383"/>
      <c r="J88" s="383"/>
      <c r="K88" s="107"/>
      <c r="L88" s="383"/>
      <c r="M88" s="331"/>
      <c r="N88" s="359"/>
      <c r="O88" s="359"/>
      <c r="P88" s="359"/>
      <c r="Q88" s="360"/>
    </row>
    <row r="89" spans="1:17" ht="16" customHeight="1">
      <c r="A89" s="133"/>
      <c r="B89" s="14"/>
      <c r="C89" s="233" t="s">
        <v>98</v>
      </c>
      <c r="D89" s="333">
        <v>0.02</v>
      </c>
      <c r="E89" s="232"/>
      <c r="F89" s="221"/>
      <c r="G89" s="323"/>
      <c r="H89" s="374"/>
      <c r="I89" s="375"/>
      <c r="J89" s="375"/>
      <c r="K89" s="375"/>
      <c r="L89" s="375"/>
      <c r="M89" s="14"/>
      <c r="N89" s="15"/>
      <c r="O89" s="15"/>
      <c r="P89" s="15"/>
      <c r="Q89" s="16"/>
    </row>
    <row r="90" spans="1:17" ht="16" customHeight="1">
      <c r="A90" s="133"/>
      <c r="B90" s="14"/>
      <c r="C90" s="233" t="s">
        <v>200</v>
      </c>
      <c r="D90" s="254">
        <v>2000</v>
      </c>
      <c r="E90" s="230"/>
      <c r="F90" s="357"/>
      <c r="G90" s="358"/>
      <c r="H90" s="382"/>
      <c r="I90" s="383"/>
      <c r="J90" s="383"/>
      <c r="K90" s="370"/>
      <c r="L90" s="383"/>
      <c r="M90" s="14"/>
      <c r="N90" s="359"/>
      <c r="O90" s="359"/>
      <c r="P90" s="359"/>
      <c r="Q90" s="360"/>
    </row>
    <row r="91" spans="1:17" ht="16" customHeight="1">
      <c r="A91" s="133"/>
      <c r="B91" s="14"/>
      <c r="C91" s="334" t="s">
        <v>106</v>
      </c>
      <c r="D91" s="221"/>
      <c r="E91" s="221"/>
      <c r="F91" s="221"/>
      <c r="G91" s="323"/>
      <c r="H91" s="394">
        <f>ROUND(Revenue!H42/$D90,0)</f>
        <v>1</v>
      </c>
      <c r="I91" s="394">
        <f>ROUND(Revenue!I42/$D90,0)</f>
        <v>3</v>
      </c>
      <c r="J91" s="394">
        <f>ROUND(Revenue!J42/$D90,0)</f>
        <v>5</v>
      </c>
      <c r="K91" s="394">
        <f>ROUND(Revenue!K42/$D90,0)</f>
        <v>8</v>
      </c>
      <c r="L91" s="384">
        <f>ROUND(Revenue!L42/$D90,0)</f>
        <v>13</v>
      </c>
      <c r="M91" s="331"/>
      <c r="N91" s="15"/>
      <c r="O91" s="15"/>
      <c r="P91" s="15"/>
      <c r="Q91" s="16"/>
    </row>
    <row r="92" spans="1:17" ht="16" customHeight="1">
      <c r="A92" s="133"/>
      <c r="B92" s="14"/>
      <c r="C92" s="334" t="s">
        <v>118</v>
      </c>
      <c r="D92" s="221"/>
      <c r="E92" s="221"/>
      <c r="F92" s="221"/>
      <c r="G92" s="323"/>
      <c r="H92" s="386">
        <v>0</v>
      </c>
      <c r="I92" s="387">
        <v>0</v>
      </c>
      <c r="J92" s="387">
        <v>0</v>
      </c>
      <c r="K92" s="387">
        <v>0</v>
      </c>
      <c r="L92" s="387">
        <v>0</v>
      </c>
      <c r="M92" s="14"/>
      <c r="N92" s="15"/>
      <c r="O92" s="15"/>
      <c r="P92" s="15"/>
      <c r="Q92" s="16"/>
    </row>
    <row r="93" spans="1:17" ht="16" customHeight="1">
      <c r="A93" s="133"/>
      <c r="B93" s="14"/>
      <c r="C93" s="334" t="s">
        <v>113</v>
      </c>
      <c r="D93" s="221"/>
      <c r="E93" s="221"/>
      <c r="F93" s="221"/>
      <c r="G93" s="323"/>
      <c r="H93" s="362">
        <f>H91+H92</f>
        <v>1</v>
      </c>
      <c r="I93" s="363">
        <f>I91+I92</f>
        <v>3</v>
      </c>
      <c r="J93" s="363">
        <f>J91+J92</f>
        <v>5</v>
      </c>
      <c r="K93" s="363">
        <f>K91+K92</f>
        <v>8</v>
      </c>
      <c r="L93" s="363">
        <f>L91+L92</f>
        <v>13</v>
      </c>
      <c r="M93" s="14"/>
      <c r="N93" s="15"/>
      <c r="O93" s="15"/>
      <c r="P93" s="15"/>
      <c r="Q93" s="16"/>
    </row>
    <row r="94" spans="1:17" ht="16" customHeight="1">
      <c r="A94" s="133"/>
      <c r="B94" s="14"/>
      <c r="C94" s="334" t="s">
        <v>107</v>
      </c>
      <c r="D94" s="161"/>
      <c r="E94" s="357"/>
      <c r="F94" s="357"/>
      <c r="G94" s="358"/>
      <c r="H94" s="330">
        <f>H91*$D88*((1+$D89)^(H2-1))</f>
        <v>40000</v>
      </c>
      <c r="I94" s="330">
        <f>I91*$D88*((1+$D89)^(I2-1))</f>
        <v>122400</v>
      </c>
      <c r="J94" s="330">
        <f>J91*$D88*((1+$D89)^(J2-1))</f>
        <v>208080</v>
      </c>
      <c r="K94" s="330">
        <f>K91*$D88*((1+$D89)^(K2-1))</f>
        <v>339586.56</v>
      </c>
      <c r="L94" s="330">
        <f>L91*$D88*((1+$D89)^(L2-1))</f>
        <v>562864.72320000001</v>
      </c>
      <c r="M94" s="14"/>
      <c r="N94" s="15"/>
      <c r="O94" s="15"/>
      <c r="P94" s="15"/>
      <c r="Q94" s="16"/>
    </row>
    <row r="95" spans="1:17" ht="19" customHeight="1">
      <c r="A95" s="133"/>
      <c r="B95" s="391"/>
      <c r="C95" s="35"/>
      <c r="D95" s="328"/>
      <c r="E95" s="267"/>
      <c r="F95" s="267"/>
      <c r="G95" s="323"/>
      <c r="H95" s="324"/>
      <c r="I95" s="224"/>
      <c r="J95" s="224"/>
      <c r="K95" s="224"/>
      <c r="L95" s="224"/>
      <c r="M95" s="14"/>
      <c r="N95" s="15"/>
      <c r="O95" s="15"/>
      <c r="P95" s="15"/>
      <c r="Q95" s="16"/>
    </row>
    <row r="96" spans="1:17" ht="16" customHeight="1">
      <c r="A96" s="133"/>
      <c r="B96" s="14"/>
      <c r="C96" s="502" t="s">
        <v>122</v>
      </c>
      <c r="D96" s="396"/>
      <c r="E96" s="221"/>
      <c r="F96" s="221"/>
      <c r="G96" s="323"/>
      <c r="H96" s="377"/>
      <c r="I96" s="370"/>
      <c r="J96" s="370"/>
      <c r="K96" s="363"/>
      <c r="L96" s="370"/>
      <c r="M96" s="379"/>
      <c r="N96" s="380"/>
      <c r="O96" s="380"/>
      <c r="P96" s="380"/>
      <c r="Q96" s="381"/>
    </row>
    <row r="97" spans="1:17" ht="16" customHeight="1">
      <c r="A97" s="133"/>
      <c r="B97" s="14"/>
      <c r="C97" s="233" t="s">
        <v>104</v>
      </c>
      <c r="D97" s="326">
        <v>25000</v>
      </c>
      <c r="E97" s="356"/>
      <c r="F97" s="357"/>
      <c r="G97" s="358"/>
      <c r="H97" s="382"/>
      <c r="I97" s="383"/>
      <c r="J97" s="383"/>
      <c r="K97" s="107"/>
      <c r="L97" s="383"/>
      <c r="M97" s="331"/>
      <c r="N97" s="359"/>
      <c r="O97" s="359"/>
      <c r="P97" s="359"/>
      <c r="Q97" s="360"/>
    </row>
    <row r="98" spans="1:17" ht="16" customHeight="1">
      <c r="A98" s="133"/>
      <c r="B98" s="14"/>
      <c r="C98" s="233" t="s">
        <v>98</v>
      </c>
      <c r="D98" s="333">
        <v>0.02</v>
      </c>
      <c r="E98" s="232"/>
      <c r="F98" s="221"/>
      <c r="G98" s="323"/>
      <c r="H98" s="374"/>
      <c r="I98" s="375"/>
      <c r="J98" s="375"/>
      <c r="K98" s="375"/>
      <c r="L98" s="375"/>
      <c r="M98" s="14"/>
      <c r="N98" s="15"/>
      <c r="O98" s="15"/>
      <c r="P98" s="15"/>
      <c r="Q98" s="16"/>
    </row>
    <row r="99" spans="1:17" ht="16" customHeight="1">
      <c r="A99" s="133"/>
      <c r="B99" s="14"/>
      <c r="C99" s="233" t="s">
        <v>111</v>
      </c>
      <c r="D99" s="254">
        <v>2000000</v>
      </c>
      <c r="E99" s="230"/>
      <c r="F99" s="357"/>
      <c r="G99" s="358"/>
      <c r="H99" s="382"/>
      <c r="I99" s="383"/>
      <c r="J99" s="383"/>
      <c r="K99" s="370"/>
      <c r="L99" s="383"/>
      <c r="M99" s="14"/>
      <c r="N99" s="359"/>
      <c r="O99" s="359"/>
      <c r="P99" s="359"/>
      <c r="Q99" s="360"/>
    </row>
    <row r="100" spans="1:17" ht="16" customHeight="1">
      <c r="A100" s="133"/>
      <c r="B100" s="14"/>
      <c r="C100" s="334" t="s">
        <v>106</v>
      </c>
      <c r="D100" s="221"/>
      <c r="E100" s="221"/>
      <c r="F100" s="221"/>
      <c r="G100" s="323"/>
      <c r="H100" s="384">
        <f>ROUND(Revenue!H23/$D99,1)</f>
        <v>0</v>
      </c>
      <c r="I100" s="397">
        <f>ROUND(Revenue!I23/$D99,0)</f>
        <v>0</v>
      </c>
      <c r="J100" s="394">
        <f>ROUND(Revenue!J23/$D99,0)</f>
        <v>0</v>
      </c>
      <c r="K100" s="394">
        <f>ROUND(Revenue!K23/$D99,0)</f>
        <v>0</v>
      </c>
      <c r="L100" s="384">
        <f>ROUND(Revenue!L23/$D99,0)</f>
        <v>0</v>
      </c>
      <c r="M100" s="331"/>
      <c r="N100" s="15"/>
      <c r="O100" s="15"/>
      <c r="P100" s="15"/>
      <c r="Q100" s="16"/>
    </row>
    <row r="101" spans="1:17" ht="16" customHeight="1">
      <c r="A101" s="133"/>
      <c r="B101" s="14"/>
      <c r="C101" s="334" t="s">
        <v>118</v>
      </c>
      <c r="D101" s="221"/>
      <c r="E101" s="221"/>
      <c r="F101" s="221"/>
      <c r="G101" s="323"/>
      <c r="H101" s="386">
        <v>0</v>
      </c>
      <c r="I101" s="387">
        <v>0</v>
      </c>
      <c r="J101" s="387">
        <v>0</v>
      </c>
      <c r="K101" s="387">
        <v>0</v>
      </c>
      <c r="L101" s="387">
        <v>0</v>
      </c>
      <c r="M101" s="331"/>
      <c r="N101" s="15"/>
      <c r="O101" s="15"/>
      <c r="P101" s="15"/>
      <c r="Q101" s="16"/>
    </row>
    <row r="102" spans="1:17" ht="16" customHeight="1">
      <c r="A102" s="133"/>
      <c r="B102" s="14"/>
      <c r="C102" s="334" t="s">
        <v>113</v>
      </c>
      <c r="D102" s="221"/>
      <c r="E102" s="221"/>
      <c r="F102" s="221"/>
      <c r="G102" s="323"/>
      <c r="H102" s="362">
        <f>H100+H101</f>
        <v>0</v>
      </c>
      <c r="I102" s="363">
        <f>I100+I101</f>
        <v>0</v>
      </c>
      <c r="J102" s="363">
        <f>J100+J101</f>
        <v>0</v>
      </c>
      <c r="K102" s="363">
        <f>K100+K101</f>
        <v>0</v>
      </c>
      <c r="L102" s="363">
        <f>L100+L101</f>
        <v>0</v>
      </c>
      <c r="M102" s="14"/>
      <c r="N102" s="15"/>
      <c r="O102" s="15"/>
      <c r="P102" s="15"/>
      <c r="Q102" s="16"/>
    </row>
    <row r="103" spans="1:17" ht="16" customHeight="1">
      <c r="A103" s="133"/>
      <c r="B103" s="14"/>
      <c r="C103" s="334" t="s">
        <v>107</v>
      </c>
      <c r="D103" s="357"/>
      <c r="E103" s="357"/>
      <c r="F103" s="357"/>
      <c r="G103" s="358"/>
      <c r="H103" s="330">
        <f>H100*$D97*((1+$D98)^(H2-1))</f>
        <v>0</v>
      </c>
      <c r="I103" s="330">
        <f>I100*$D97*((1+$D98)^(I2-1))</f>
        <v>0</v>
      </c>
      <c r="J103" s="330">
        <f>J100*$D97*((1+$D98)^(J2-1))</f>
        <v>0</v>
      </c>
      <c r="K103" s="330">
        <f>K100*$D97*((1+$D98)^(K2-1))</f>
        <v>0</v>
      </c>
      <c r="L103" s="330">
        <f>L100*$D97*((1+$D98)^(L2-1))</f>
        <v>0</v>
      </c>
      <c r="M103" s="14"/>
      <c r="N103" s="15"/>
      <c r="O103" s="15"/>
      <c r="P103" s="15"/>
      <c r="Q103" s="16"/>
    </row>
    <row r="104" spans="1:17" ht="19" customHeight="1">
      <c r="A104" s="133"/>
      <c r="B104" s="395"/>
      <c r="C104" s="255"/>
      <c r="D104" s="339"/>
      <c r="E104" s="339"/>
      <c r="F104" s="339"/>
      <c r="G104" s="340"/>
      <c r="H104" s="341"/>
      <c r="I104" s="342"/>
      <c r="J104" s="342"/>
      <c r="K104" s="342"/>
      <c r="L104" s="342"/>
      <c r="M104" s="14"/>
      <c r="N104" s="15"/>
      <c r="O104" s="15"/>
      <c r="P104" s="15"/>
      <c r="Q104" s="16"/>
    </row>
    <row r="105" spans="1:17" ht="16" customHeight="1">
      <c r="A105" s="133"/>
      <c r="B105" s="343" t="str">
        <f>"Total "&amp;B85&amp;" Headcount"</f>
        <v>Total  Headcount</v>
      </c>
      <c r="C105" s="344"/>
      <c r="D105" s="344"/>
      <c r="E105" s="344"/>
      <c r="F105" s="344"/>
      <c r="G105" s="345"/>
      <c r="H105" s="398">
        <f>SUM(,H102,H93)</f>
        <v>1</v>
      </c>
      <c r="I105" s="398">
        <f>SUM(,I102,I93)</f>
        <v>3</v>
      </c>
      <c r="J105" s="398">
        <f>SUM(,J102,J93)</f>
        <v>5</v>
      </c>
      <c r="K105" s="398">
        <f>SUM(,K102,K93)</f>
        <v>8</v>
      </c>
      <c r="L105" s="389">
        <f>SUM(,L102,L93)</f>
        <v>13</v>
      </c>
      <c r="M105" s="14"/>
      <c r="N105" s="15"/>
      <c r="O105" s="15"/>
      <c r="P105" s="15"/>
      <c r="Q105" s="16"/>
    </row>
    <row r="106" spans="1:17" ht="16" customHeight="1">
      <c r="A106" s="133"/>
      <c r="B106" s="348" t="str">
        <f>"Total "&amp;B86&amp;" Salaries"</f>
        <v>Total Operations and customer support Salaries</v>
      </c>
      <c r="C106" s="344"/>
      <c r="D106" s="344"/>
      <c r="E106" s="344"/>
      <c r="F106" s="344"/>
      <c r="G106" s="345"/>
      <c r="H106" s="349">
        <f>H94+H103</f>
        <v>40000</v>
      </c>
      <c r="I106" s="350">
        <f>I94+I103</f>
        <v>122400</v>
      </c>
      <c r="J106" s="350">
        <f>J94+J103</f>
        <v>208080</v>
      </c>
      <c r="K106" s="350">
        <f>K94+K103</f>
        <v>339586.56</v>
      </c>
      <c r="L106" s="350">
        <f>L94+L103</f>
        <v>562864.72320000001</v>
      </c>
      <c r="M106" s="14"/>
      <c r="N106" s="15"/>
      <c r="O106" s="15"/>
      <c r="P106" s="15"/>
      <c r="Q106" s="16"/>
    </row>
    <row r="107" spans="1:17" ht="16" customHeight="1">
      <c r="A107" s="133"/>
      <c r="B107" s="95" t="s">
        <v>32</v>
      </c>
      <c r="C107" s="135"/>
      <c r="D107" s="135"/>
      <c r="E107" s="135"/>
      <c r="F107" s="135"/>
      <c r="G107" s="351"/>
      <c r="H107" s="352">
        <f>H106/Revenue!H$123</f>
        <v>3.8351520592317542E-2</v>
      </c>
      <c r="I107" s="353">
        <f>I106/Revenue!I$123</f>
        <v>5.6839809749355222E-2</v>
      </c>
      <c r="J107" s="353">
        <f>J106/Revenue!J$123</f>
        <v>5.4387318197723342E-2</v>
      </c>
      <c r="K107" s="353">
        <f>K106/Revenue!K$123</f>
        <v>5.2618511245942613E-2</v>
      </c>
      <c r="L107" s="353">
        <f>L106/Revenue!L$123</f>
        <v>5.2408189287649461E-2</v>
      </c>
      <c r="M107" s="244"/>
      <c r="N107" s="15"/>
      <c r="O107" s="15"/>
      <c r="P107" s="15"/>
      <c r="Q107" s="16"/>
    </row>
    <row r="108" spans="1:17" ht="19" customHeight="1">
      <c r="A108" s="133"/>
      <c r="B108" s="391"/>
      <c r="C108" s="35"/>
      <c r="D108" s="267"/>
      <c r="E108" s="267"/>
      <c r="F108" s="267"/>
      <c r="G108" s="323"/>
      <c r="H108" s="324"/>
      <c r="I108" s="224"/>
      <c r="J108" s="224"/>
      <c r="K108" s="224"/>
      <c r="L108" s="224"/>
      <c r="M108" s="14"/>
      <c r="N108" s="15"/>
      <c r="O108" s="15"/>
      <c r="P108" s="15"/>
      <c r="Q108" s="16"/>
    </row>
    <row r="109" spans="1:17" ht="19" customHeight="1">
      <c r="A109" s="133"/>
      <c r="B109" s="124" t="s">
        <v>123</v>
      </c>
      <c r="C109" s="35"/>
      <c r="D109" s="267"/>
      <c r="E109" s="267"/>
      <c r="F109" s="267"/>
      <c r="G109" s="323"/>
      <c r="H109" s="324"/>
      <c r="I109" s="224"/>
      <c r="J109" s="224"/>
      <c r="K109" s="224"/>
      <c r="L109" s="224"/>
      <c r="M109" s="14"/>
      <c r="N109" s="15"/>
      <c r="O109" s="15"/>
      <c r="P109" s="15"/>
      <c r="Q109" s="16"/>
    </row>
    <row r="110" spans="1:17" ht="16" customHeight="1">
      <c r="A110" s="133"/>
      <c r="B110" s="14"/>
      <c r="C110" s="364" t="s">
        <v>124</v>
      </c>
      <c r="D110" s="228"/>
      <c r="E110" s="221"/>
      <c r="F110" s="221"/>
      <c r="G110" s="323"/>
      <c r="H110" s="377"/>
      <c r="I110" s="370"/>
      <c r="J110" s="370"/>
      <c r="K110" s="363"/>
      <c r="L110" s="370"/>
      <c r="M110" s="379"/>
      <c r="N110" s="380"/>
      <c r="O110" s="380"/>
      <c r="P110" s="380"/>
      <c r="Q110" s="381"/>
    </row>
    <row r="111" spans="1:17" ht="16" customHeight="1">
      <c r="A111" s="133"/>
      <c r="B111" s="14"/>
      <c r="C111" s="233" t="s">
        <v>104</v>
      </c>
      <c r="D111" s="326">
        <v>40000</v>
      </c>
      <c r="E111" s="356"/>
      <c r="F111" s="357"/>
      <c r="G111" s="358"/>
      <c r="H111" s="382"/>
      <c r="I111" s="383"/>
      <c r="J111" s="383"/>
      <c r="K111" s="370"/>
      <c r="L111" s="383"/>
      <c r="M111" s="331"/>
      <c r="N111" s="359"/>
      <c r="O111" s="359"/>
      <c r="P111" s="359"/>
      <c r="Q111" s="360"/>
    </row>
    <row r="112" spans="1:17" ht="16" customHeight="1">
      <c r="A112" s="133"/>
      <c r="B112" s="14"/>
      <c r="C112" s="233" t="s">
        <v>98</v>
      </c>
      <c r="D112" s="333">
        <v>0.1</v>
      </c>
      <c r="E112" s="232"/>
      <c r="F112" s="221"/>
      <c r="G112" s="323"/>
      <c r="H112" s="374"/>
      <c r="I112" s="375"/>
      <c r="J112" s="375"/>
      <c r="K112" s="375"/>
      <c r="L112" s="375"/>
      <c r="M112" s="14"/>
      <c r="N112" s="15"/>
      <c r="O112" s="15"/>
      <c r="P112" s="15"/>
      <c r="Q112" s="16"/>
    </row>
    <row r="113" spans="1:17" ht="16" customHeight="1">
      <c r="A113" s="133"/>
      <c r="B113" s="14"/>
      <c r="C113" s="233" t="s">
        <v>121</v>
      </c>
      <c r="D113" s="399">
        <v>3000</v>
      </c>
      <c r="E113" s="356"/>
      <c r="F113" s="357"/>
      <c r="G113" s="358"/>
      <c r="H113" s="382"/>
      <c r="I113" s="383"/>
      <c r="J113" s="383"/>
      <c r="K113" s="370"/>
      <c r="L113" s="383"/>
      <c r="M113" s="361"/>
      <c r="N113" s="359"/>
      <c r="O113" s="359"/>
      <c r="P113" s="359"/>
      <c r="Q113" s="360"/>
    </row>
    <row r="114" spans="1:17" ht="16" customHeight="1">
      <c r="A114" s="133"/>
      <c r="B114" s="14"/>
      <c r="C114" s="334" t="s">
        <v>106</v>
      </c>
      <c r="D114" s="221"/>
      <c r="E114" s="221"/>
      <c r="F114" s="221"/>
      <c r="G114" s="323"/>
      <c r="H114" s="400">
        <f>ROUND(Revenue!H42/$D113,0)</f>
        <v>1</v>
      </c>
      <c r="I114" s="400">
        <f>ROUND(Revenue!I42/$D113,0)</f>
        <v>2</v>
      </c>
      <c r="J114" s="400">
        <f>ROUND(Revenue!J42/$D113,0)</f>
        <v>3</v>
      </c>
      <c r="K114" s="400">
        <f>ROUND(Revenue!K42/$D113,0)</f>
        <v>5</v>
      </c>
      <c r="L114" s="362">
        <f>ROUND(Revenue!L42/$D113,0)</f>
        <v>9</v>
      </c>
      <c r="M114" s="331"/>
      <c r="N114" s="15"/>
      <c r="O114" s="15"/>
      <c r="P114" s="15"/>
      <c r="Q114" s="16"/>
    </row>
    <row r="115" spans="1:17" ht="16" customHeight="1">
      <c r="A115" s="133"/>
      <c r="B115" s="14"/>
      <c r="C115" s="334" t="s">
        <v>107</v>
      </c>
      <c r="D115" s="161"/>
      <c r="E115" s="357"/>
      <c r="F115" s="357"/>
      <c r="G115" s="358"/>
      <c r="H115" s="330">
        <f>H114*$D111*((1+$D112)^(H2-1))</f>
        <v>40000</v>
      </c>
      <c r="I115" s="330">
        <f>I114*$D111*((1+$D112)^(I2-1))</f>
        <v>88000</v>
      </c>
      <c r="J115" s="330">
        <f>J114*$D111*((1+$D112)^(J2-1))</f>
        <v>145200.00000000003</v>
      </c>
      <c r="K115" s="330">
        <f>K114*$D111*((1+$D112)^(K2-1))</f>
        <v>266200.00000000006</v>
      </c>
      <c r="L115" s="330">
        <f>L114*$D111*((1+$D112)^(L2-1))</f>
        <v>527076.00000000012</v>
      </c>
      <c r="M115" s="14"/>
      <c r="N115" s="15"/>
      <c r="O115" s="15"/>
      <c r="P115" s="15"/>
      <c r="Q115" s="16"/>
    </row>
    <row r="116" spans="1:17" ht="19" customHeight="1">
      <c r="A116" s="133"/>
      <c r="B116" s="395"/>
      <c r="C116" s="255"/>
      <c r="D116" s="339"/>
      <c r="E116" s="339"/>
      <c r="F116" s="339"/>
      <c r="G116" s="340"/>
      <c r="H116" s="401"/>
      <c r="I116" s="402"/>
      <c r="J116" s="402"/>
      <c r="K116" s="402"/>
      <c r="L116" s="402"/>
      <c r="M116" s="14"/>
      <c r="N116" s="15"/>
      <c r="O116" s="15"/>
      <c r="P116" s="15"/>
      <c r="Q116" s="16"/>
    </row>
    <row r="117" spans="1:17" ht="16" customHeight="1">
      <c r="A117" s="133"/>
      <c r="B117" s="343" t="str">
        <f>"Total "&amp;B109&amp;" Headcount"</f>
        <v>Total Finance and administration Headcount</v>
      </c>
      <c r="C117" s="344"/>
      <c r="D117" s="344"/>
      <c r="E117" s="344"/>
      <c r="F117" s="344"/>
      <c r="G117" s="345"/>
      <c r="H117" s="403">
        <f>SUM(H114)</f>
        <v>1</v>
      </c>
      <c r="I117" s="403">
        <f>SUM(I114)</f>
        <v>2</v>
      </c>
      <c r="J117" s="403">
        <f>SUM(J114)</f>
        <v>3</v>
      </c>
      <c r="K117" s="403">
        <f>SUM(K114)</f>
        <v>5</v>
      </c>
      <c r="L117" s="346">
        <f>SUM(L114)</f>
        <v>9</v>
      </c>
      <c r="M117" s="14"/>
      <c r="N117" s="15"/>
      <c r="O117" s="15"/>
      <c r="P117" s="15"/>
      <c r="Q117" s="16"/>
    </row>
    <row r="118" spans="1:17" ht="16" customHeight="1">
      <c r="A118" s="133"/>
      <c r="B118" s="348" t="str">
        <f>"Total "&amp;B109&amp;" Salaries"</f>
        <v>Total Finance and administration Salaries</v>
      </c>
      <c r="C118" s="344"/>
      <c r="D118" s="344"/>
      <c r="E118" s="344"/>
      <c r="F118" s="344"/>
      <c r="G118" s="345"/>
      <c r="H118" s="404">
        <f>H115</f>
        <v>40000</v>
      </c>
      <c r="I118" s="404">
        <f>I115</f>
        <v>88000</v>
      </c>
      <c r="J118" s="404">
        <f>J115</f>
        <v>145200.00000000003</v>
      </c>
      <c r="K118" s="404">
        <f>K115</f>
        <v>266200.00000000006</v>
      </c>
      <c r="L118" s="349">
        <f>L115</f>
        <v>527076.00000000012</v>
      </c>
      <c r="M118" s="14"/>
      <c r="N118" s="15"/>
      <c r="O118" s="15"/>
      <c r="P118" s="15"/>
      <c r="Q118" s="16"/>
    </row>
    <row r="119" spans="1:17" ht="16" customHeight="1">
      <c r="A119" s="133"/>
      <c r="B119" s="95" t="s">
        <v>32</v>
      </c>
      <c r="C119" s="135"/>
      <c r="D119" s="135"/>
      <c r="E119" s="135"/>
      <c r="F119" s="135"/>
      <c r="G119" s="351"/>
      <c r="H119" s="352">
        <f>H118/Revenue!H$123</f>
        <v>3.8351520592317542E-2</v>
      </c>
      <c r="I119" s="353">
        <f>I118/Revenue!I$123</f>
        <v>4.0865222695614864E-2</v>
      </c>
      <c r="J119" s="353">
        <f>J118/Revenue!J$123</f>
        <v>3.7951934843855395E-2</v>
      </c>
      <c r="K119" s="353">
        <f>K118/Revenue!K$123</f>
        <v>4.1247355883783879E-2</v>
      </c>
      <c r="L119" s="353">
        <f>L118/Revenue!L$123</f>
        <v>4.9075910495747929E-2</v>
      </c>
      <c r="M119" s="244"/>
      <c r="N119" s="15"/>
      <c r="O119" s="15"/>
      <c r="P119" s="15"/>
      <c r="Q119" s="16"/>
    </row>
    <row r="120" spans="1:17" ht="16" customHeight="1">
      <c r="A120" s="133"/>
      <c r="B120" s="405"/>
      <c r="C120" s="240"/>
      <c r="D120" s="240"/>
      <c r="E120" s="240"/>
      <c r="F120" s="240"/>
      <c r="G120" s="340"/>
      <c r="H120" s="406"/>
      <c r="I120" s="407"/>
      <c r="J120" s="407"/>
      <c r="K120" s="407"/>
      <c r="L120" s="407"/>
      <c r="M120" s="244"/>
      <c r="N120" s="15"/>
      <c r="O120" s="15"/>
      <c r="P120" s="15"/>
      <c r="Q120" s="16"/>
    </row>
    <row r="121" spans="1:17" ht="19" customHeight="1">
      <c r="A121" s="408"/>
      <c r="B121" s="409" t="str">
        <f>"Total Headcount"</f>
        <v>Total Headcount</v>
      </c>
      <c r="C121" s="410"/>
      <c r="D121" s="410"/>
      <c r="E121" s="410"/>
      <c r="F121" s="410"/>
      <c r="G121" s="411"/>
      <c r="H121" s="412">
        <f t="shared" ref="H121:L122" si="3">SUM(H28,H40,H61,H82,H105,H117)</f>
        <v>29</v>
      </c>
      <c r="I121" s="413">
        <f t="shared" si="3"/>
        <v>36</v>
      </c>
      <c r="J121" s="413">
        <f t="shared" si="3"/>
        <v>45</v>
      </c>
      <c r="K121" s="413">
        <f t="shared" si="3"/>
        <v>56</v>
      </c>
      <c r="L121" s="413">
        <f t="shared" si="3"/>
        <v>92</v>
      </c>
      <c r="M121" s="414"/>
      <c r="N121" s="415"/>
      <c r="O121" s="415"/>
      <c r="P121" s="415"/>
      <c r="Q121" s="416"/>
    </row>
    <row r="122" spans="1:17" ht="16" customHeight="1">
      <c r="A122" s="133"/>
      <c r="B122" s="348" t="str">
        <f>"Total Salaries"</f>
        <v>Total Salaries</v>
      </c>
      <c r="C122" s="344"/>
      <c r="D122" s="344"/>
      <c r="E122" s="344"/>
      <c r="F122" s="344"/>
      <c r="G122" s="345"/>
      <c r="H122" s="349">
        <f t="shared" si="3"/>
        <v>1315000</v>
      </c>
      <c r="I122" s="350">
        <f t="shared" si="3"/>
        <v>1685200</v>
      </c>
      <c r="J122" s="350">
        <f t="shared" si="3"/>
        <v>2195590</v>
      </c>
      <c r="K122" s="350">
        <f t="shared" si="3"/>
        <v>2856958.2400000007</v>
      </c>
      <c r="L122" s="350">
        <f t="shared" si="3"/>
        <v>4895312.3608000008</v>
      </c>
      <c r="M122" s="14"/>
      <c r="N122" s="15"/>
      <c r="O122" s="15"/>
      <c r="P122" s="15"/>
      <c r="Q122" s="16"/>
    </row>
    <row r="123" spans="1:17" ht="16" customHeight="1">
      <c r="A123" s="133"/>
      <c r="B123" s="95" t="s">
        <v>32</v>
      </c>
      <c r="C123" s="135"/>
      <c r="D123" s="135"/>
      <c r="E123" s="135"/>
      <c r="F123" s="135"/>
      <c r="G123" s="351"/>
      <c r="H123" s="352">
        <f>H122/Revenue!H$123</f>
        <v>1.2608062394724391</v>
      </c>
      <c r="I123" s="353">
        <f>I122/Revenue!I$123</f>
        <v>0.78256901462102468</v>
      </c>
      <c r="J123" s="353">
        <f>J122/Revenue!J$123</f>
        <v>0.57387664341474143</v>
      </c>
      <c r="K123" s="353">
        <f>K122/Revenue!K$123</f>
        <v>0.44268209342745618</v>
      </c>
      <c r="L123" s="353">
        <f>L122/Revenue!L$123</f>
        <v>0.45580127205061371</v>
      </c>
      <c r="M123" s="244"/>
      <c r="N123" s="15"/>
      <c r="O123" s="15"/>
      <c r="P123" s="15"/>
      <c r="Q123" s="16"/>
    </row>
    <row r="124" spans="1:17" ht="16" customHeight="1">
      <c r="A124" s="133"/>
      <c r="B124" s="417"/>
      <c r="C124" s="221"/>
      <c r="D124" s="221"/>
      <c r="E124" s="221"/>
      <c r="F124" s="221"/>
      <c r="G124" s="323"/>
      <c r="H124" s="418"/>
      <c r="I124" s="419"/>
      <c r="J124" s="419"/>
      <c r="K124" s="419"/>
      <c r="L124" s="419"/>
      <c r="M124" s="244"/>
      <c r="N124" s="15"/>
      <c r="O124" s="15"/>
      <c r="P124" s="15"/>
      <c r="Q124" s="16"/>
    </row>
    <row r="125" spans="1:17" ht="19" customHeight="1">
      <c r="A125" s="133"/>
      <c r="B125" s="124" t="s">
        <v>125</v>
      </c>
      <c r="C125" s="35"/>
      <c r="D125" s="267"/>
      <c r="E125" s="267"/>
      <c r="F125" s="267"/>
      <c r="G125" s="323"/>
      <c r="H125" s="324"/>
      <c r="I125" s="224"/>
      <c r="J125" s="224"/>
      <c r="K125" s="224"/>
      <c r="L125" s="224"/>
      <c r="M125" s="14"/>
      <c r="N125" s="15"/>
      <c r="O125" s="15"/>
      <c r="P125" s="15"/>
      <c r="Q125" s="16"/>
    </row>
    <row r="126" spans="1:17" ht="19" customHeight="1">
      <c r="A126" s="133"/>
      <c r="B126" s="391"/>
      <c r="C126" s="364" t="s">
        <v>238</v>
      </c>
      <c r="D126" s="322"/>
      <c r="E126" s="267"/>
      <c r="F126" s="267"/>
      <c r="G126" s="323"/>
      <c r="H126" s="324"/>
      <c r="I126" s="224"/>
      <c r="J126" s="224"/>
      <c r="K126" s="224"/>
      <c r="L126" s="224"/>
      <c r="M126" s="14"/>
      <c r="N126" s="15"/>
      <c r="O126" s="15"/>
      <c r="P126" s="15"/>
      <c r="Q126" s="16"/>
    </row>
    <row r="127" spans="1:17" ht="19" customHeight="1">
      <c r="A127" s="133"/>
      <c r="B127" s="391"/>
      <c r="C127" s="233" t="s">
        <v>126</v>
      </c>
      <c r="D127" s="229">
        <v>0.03</v>
      </c>
      <c r="E127" s="272"/>
      <c r="F127" s="267"/>
      <c r="G127" s="420" t="s">
        <v>127</v>
      </c>
      <c r="H127" s="330">
        <f>(H122*$D127)*1/100+(H122*$D127)</f>
        <v>39844.5</v>
      </c>
      <c r="I127" s="235">
        <f>(I122*$D127)*1/100+(I122*$D127)</f>
        <v>51061.56</v>
      </c>
      <c r="J127" s="235">
        <f>(J122*$D127)*1/100+(J122*$D127)</f>
        <v>66526.376999999993</v>
      </c>
      <c r="K127" s="235">
        <f>(K122*$D127)*1/100+(K122*$D127)</f>
        <v>86565.834672000012</v>
      </c>
      <c r="L127" s="235">
        <f>(L122*$D127)*1/100+(L122*$D127)</f>
        <v>148327.96453224</v>
      </c>
      <c r="M127" s="494"/>
      <c r="N127" s="15"/>
      <c r="O127" s="15"/>
      <c r="P127" s="15"/>
      <c r="Q127" s="16"/>
    </row>
    <row r="128" spans="1:17" ht="20" customHeight="1">
      <c r="A128" s="133"/>
      <c r="B128" s="421"/>
      <c r="C128" s="252"/>
      <c r="D128" s="322"/>
      <c r="E128" s="322"/>
      <c r="F128" s="322"/>
      <c r="G128" s="422"/>
      <c r="H128" s="423"/>
      <c r="I128" s="191"/>
      <c r="J128" s="191"/>
      <c r="K128" s="191"/>
      <c r="L128" s="191"/>
      <c r="M128" s="14"/>
      <c r="N128" s="15"/>
      <c r="O128" s="15"/>
      <c r="P128" s="15"/>
      <c r="Q128" s="16"/>
    </row>
    <row r="129" spans="1:17" ht="17" customHeight="1">
      <c r="A129" s="133"/>
      <c r="B129" s="90" t="str">
        <f>"Total Wage &amp; Related"</f>
        <v>Total Wage &amp; Related</v>
      </c>
      <c r="C129" s="424"/>
      <c r="D129" s="424"/>
      <c r="E129" s="424"/>
      <c r="F129" s="424"/>
      <c r="G129" s="425"/>
      <c r="H129" s="426">
        <f>SUM(H122,H127)</f>
        <v>1354844.5</v>
      </c>
      <c r="I129" s="93">
        <f>SUM(I122,I127)</f>
        <v>1736261.56</v>
      </c>
      <c r="J129" s="93">
        <f>SUM(J122,J127)</f>
        <v>2262116.3769999999</v>
      </c>
      <c r="K129" s="93">
        <f>SUM(K122,K127)</f>
        <v>2943524.0746720005</v>
      </c>
      <c r="L129" s="93">
        <f>SUM(L122,L127)</f>
        <v>5043640.3253322411</v>
      </c>
      <c r="M129" s="14"/>
      <c r="N129" s="15"/>
      <c r="O129" s="15"/>
      <c r="P129" s="15"/>
      <c r="Q129" s="16"/>
    </row>
    <row r="130" spans="1:17" ht="16" customHeight="1">
      <c r="A130" s="133"/>
      <c r="B130" s="138" t="s">
        <v>32</v>
      </c>
      <c r="C130" s="427"/>
      <c r="D130" s="427"/>
      <c r="E130" s="427"/>
      <c r="F130" s="427"/>
      <c r="G130" s="428"/>
      <c r="H130" s="429">
        <f>H129/Revenue!H$123</f>
        <v>1.2990086685284541</v>
      </c>
      <c r="I130" s="429">
        <f>I129/Revenue!I$123</f>
        <v>0.80628085576404174</v>
      </c>
      <c r="J130" s="429">
        <f>J129/Revenue!J$123</f>
        <v>0.59126510571020807</v>
      </c>
      <c r="K130" s="429">
        <f>K129/Revenue!K$123</f>
        <v>0.4560953608583081</v>
      </c>
      <c r="L130" s="429">
        <f>L129/Revenue!L$123</f>
        <v>0.46961205059374733</v>
      </c>
      <c r="M130" s="244"/>
      <c r="N130" s="15"/>
      <c r="O130" s="15"/>
      <c r="P130" s="15"/>
      <c r="Q130" s="16"/>
    </row>
    <row r="131" spans="1:17" ht="19" customHeight="1">
      <c r="A131" s="206"/>
      <c r="B131" s="430"/>
      <c r="C131" s="431"/>
      <c r="D131" s="432"/>
      <c r="E131" s="432"/>
      <c r="F131" s="432"/>
      <c r="G131" s="433"/>
      <c r="H131" s="434"/>
      <c r="I131" s="434"/>
      <c r="J131" s="434"/>
      <c r="K131" s="434"/>
      <c r="L131" s="434"/>
      <c r="M131" s="15"/>
      <c r="N131" s="15"/>
      <c r="O131" s="15"/>
      <c r="P131" s="15"/>
      <c r="Q131" s="16"/>
    </row>
    <row r="132" spans="1:17" ht="20" customHeight="1">
      <c r="A132" s="316"/>
      <c r="B132" s="317" t="s">
        <v>262</v>
      </c>
      <c r="C132" s="201"/>
      <c r="D132" s="201"/>
      <c r="E132" s="201"/>
      <c r="F132" s="201"/>
      <c r="G132" s="202"/>
      <c r="H132" s="212" t="str">
        <f t="shared" si="0"/>
        <v>Year 1</v>
      </c>
      <c r="I132" s="212" t="str">
        <f>I$3</f>
        <v>Year 2</v>
      </c>
      <c r="J132" s="212" t="str">
        <f>J$3</f>
        <v>Year 3</v>
      </c>
      <c r="K132" s="212" t="str">
        <f>K$3</f>
        <v>Year 4</v>
      </c>
      <c r="L132" s="213" t="str">
        <f>L$3</f>
        <v>Year 5</v>
      </c>
      <c r="M132" s="14"/>
      <c r="N132" s="15"/>
      <c r="O132" s="15"/>
      <c r="P132" s="15"/>
      <c r="Q132" s="16"/>
    </row>
    <row r="133" spans="1:17" ht="19" customHeight="1">
      <c r="A133" s="133"/>
      <c r="B133" s="80" t="s">
        <v>263</v>
      </c>
      <c r="C133" s="318"/>
      <c r="D133" s="273"/>
      <c r="E133" s="273"/>
      <c r="F133" s="273"/>
      <c r="G133" s="319"/>
      <c r="H133" s="320"/>
      <c r="I133" s="321"/>
      <c r="J133" s="321"/>
      <c r="K133" s="321"/>
      <c r="L133" s="321"/>
      <c r="M133" s="14"/>
      <c r="N133" s="15"/>
      <c r="O133" s="15"/>
      <c r="P133" s="15"/>
      <c r="Q133" s="16"/>
    </row>
    <row r="134" spans="1:17" ht="16" customHeight="1">
      <c r="A134" s="133"/>
      <c r="B134" s="244"/>
      <c r="C134" s="188" t="s">
        <v>264</v>
      </c>
      <c r="D134" s="322"/>
      <c r="E134" s="267"/>
      <c r="F134" s="267"/>
      <c r="G134" s="323"/>
      <c r="H134" s="324"/>
      <c r="I134" s="224"/>
      <c r="J134" s="224"/>
      <c r="K134" s="224"/>
      <c r="L134" s="224"/>
      <c r="M134" s="14"/>
      <c r="N134" s="15"/>
      <c r="O134" s="15"/>
      <c r="P134" s="15"/>
      <c r="Q134" s="16"/>
    </row>
    <row r="135" spans="1:17" ht="16" customHeight="1">
      <c r="A135" s="325"/>
      <c r="B135" s="159"/>
      <c r="C135" s="233" t="s">
        <v>264</v>
      </c>
      <c r="D135" s="326">
        <v>0</v>
      </c>
      <c r="E135" s="327"/>
      <c r="F135" s="328"/>
      <c r="G135" s="329"/>
      <c r="H135" s="330">
        <f>$D$135*Revenue!H42</f>
        <v>0</v>
      </c>
      <c r="I135" s="330">
        <f>$D$135*Revenue!I42</f>
        <v>0</v>
      </c>
      <c r="J135" s="330">
        <f>$D$135*Revenue!J42</f>
        <v>0</v>
      </c>
      <c r="K135" s="330">
        <f>$D$135*Revenue!K42</f>
        <v>0</v>
      </c>
      <c r="L135" s="330">
        <f>$D$135*Revenue!L42</f>
        <v>0</v>
      </c>
      <c r="M135" s="331"/>
      <c r="N135" s="15"/>
      <c r="O135" s="15"/>
      <c r="P135" s="15"/>
      <c r="Q135" s="16"/>
    </row>
    <row r="136" spans="1:17" ht="16" customHeight="1">
      <c r="A136" s="133"/>
      <c r="B136" s="244"/>
      <c r="C136" s="35"/>
      <c r="D136" s="267"/>
      <c r="E136" s="267"/>
      <c r="F136" s="267"/>
      <c r="G136" s="323"/>
      <c r="H136" s="324"/>
      <c r="I136" s="224"/>
      <c r="J136" s="224"/>
      <c r="K136" s="224"/>
      <c r="L136" s="224"/>
      <c r="M136" s="14"/>
      <c r="N136" s="15"/>
      <c r="O136" s="15"/>
      <c r="P136" s="15"/>
      <c r="Q136" s="16"/>
    </row>
    <row r="137" spans="1:17" ht="16" customHeight="1">
      <c r="A137" s="133"/>
      <c r="B137" s="599" t="s">
        <v>265</v>
      </c>
      <c r="C137" s="344"/>
      <c r="D137" s="344"/>
      <c r="E137" s="344"/>
      <c r="F137" s="344"/>
      <c r="G137" s="345"/>
      <c r="H137" s="346">
        <f>H135</f>
        <v>0</v>
      </c>
      <c r="I137" s="346">
        <f t="shared" ref="I137:L137" si="4">I135</f>
        <v>0</v>
      </c>
      <c r="J137" s="346">
        <f t="shared" si="4"/>
        <v>0</v>
      </c>
      <c r="K137" s="346">
        <f t="shared" si="4"/>
        <v>0</v>
      </c>
      <c r="L137" s="346">
        <f t="shared" si="4"/>
        <v>0</v>
      </c>
      <c r="M137" s="14"/>
      <c r="N137" s="15"/>
      <c r="O137" s="15"/>
      <c r="P137" s="15"/>
      <c r="Q137" s="16"/>
    </row>
    <row r="138" spans="1:17" ht="16" customHeight="1">
      <c r="A138" s="133"/>
      <c r="B138" s="348" t="s">
        <v>266</v>
      </c>
      <c r="C138" s="344"/>
      <c r="D138" s="344"/>
      <c r="E138" s="344"/>
      <c r="F138" s="344"/>
      <c r="G138" s="345"/>
      <c r="H138" s="600">
        <f>H137</f>
        <v>0</v>
      </c>
      <c r="I138" s="600">
        <f t="shared" ref="I138:L138" si="5">I137</f>
        <v>0</v>
      </c>
      <c r="J138" s="600">
        <f t="shared" si="5"/>
        <v>0</v>
      </c>
      <c r="K138" s="600">
        <f t="shared" si="5"/>
        <v>0</v>
      </c>
      <c r="L138" s="600">
        <f t="shared" si="5"/>
        <v>0</v>
      </c>
      <c r="M138" s="14"/>
      <c r="N138" s="15"/>
      <c r="O138" s="15"/>
      <c r="P138" s="15"/>
      <c r="Q138" s="16"/>
    </row>
    <row r="139" spans="1:17" ht="16" customHeight="1">
      <c r="A139" s="133"/>
      <c r="B139" s="95" t="s">
        <v>32</v>
      </c>
      <c r="C139" s="135"/>
      <c r="D139" s="135"/>
      <c r="E139" s="135"/>
      <c r="F139" s="135"/>
      <c r="G139" s="351"/>
      <c r="H139" s="352">
        <f>H138/Revenue!H$123</f>
        <v>0</v>
      </c>
      <c r="I139" s="353">
        <f>I138/Revenue!I$123</f>
        <v>0</v>
      </c>
      <c r="J139" s="353">
        <f>J138/Revenue!J$123</f>
        <v>0</v>
      </c>
      <c r="K139" s="353">
        <f>K138/Revenue!K$123</f>
        <v>0</v>
      </c>
      <c r="L139" s="353">
        <f>L138/Revenue!L$123</f>
        <v>0</v>
      </c>
      <c r="M139" s="244"/>
      <c r="N139" s="15"/>
      <c r="O139" s="15"/>
      <c r="P139" s="15"/>
      <c r="Q139" s="16"/>
    </row>
    <row r="140" spans="1:17" ht="16" customHeight="1">
      <c r="A140" s="133"/>
      <c r="B140" s="244"/>
      <c r="C140" s="35"/>
      <c r="D140" s="267"/>
      <c r="E140" s="267"/>
      <c r="F140" s="267"/>
      <c r="G140" s="323"/>
      <c r="H140" s="324"/>
      <c r="I140" s="224"/>
      <c r="J140" s="224"/>
      <c r="K140" s="224"/>
      <c r="L140" s="224"/>
      <c r="M140" s="14"/>
      <c r="N140" s="15"/>
      <c r="O140" s="15"/>
      <c r="P140" s="15"/>
      <c r="Q140" s="16"/>
    </row>
    <row r="141" spans="1:17" ht="20" customHeight="1">
      <c r="A141" s="133"/>
      <c r="B141" s="421"/>
      <c r="C141" s="252"/>
      <c r="D141" s="322"/>
      <c r="E141" s="322"/>
      <c r="F141" s="322"/>
      <c r="G141" s="422"/>
      <c r="H141" s="423"/>
      <c r="I141" s="191"/>
      <c r="J141" s="191"/>
      <c r="K141" s="191"/>
      <c r="L141" s="191"/>
      <c r="M141" s="14"/>
      <c r="N141" s="15"/>
      <c r="O141" s="15"/>
      <c r="P141" s="15"/>
      <c r="Q141" s="16"/>
    </row>
    <row r="142" spans="1:17" ht="17" customHeight="1">
      <c r="A142" s="133"/>
      <c r="B142" s="90" t="s">
        <v>267</v>
      </c>
      <c r="C142" s="424"/>
      <c r="D142" s="424"/>
      <c r="E142" s="424"/>
      <c r="F142" s="424"/>
      <c r="G142" s="425"/>
      <c r="H142" s="426">
        <f>H138</f>
        <v>0</v>
      </c>
      <c r="I142" s="426">
        <f t="shared" ref="I142:L142" si="6">I138</f>
        <v>0</v>
      </c>
      <c r="J142" s="426">
        <f t="shared" si="6"/>
        <v>0</v>
      </c>
      <c r="K142" s="426">
        <f t="shared" si="6"/>
        <v>0</v>
      </c>
      <c r="L142" s="426">
        <f t="shared" si="6"/>
        <v>0</v>
      </c>
      <c r="M142" s="14"/>
      <c r="N142" s="15"/>
      <c r="O142" s="15"/>
      <c r="P142" s="15"/>
      <c r="Q142" s="16"/>
    </row>
    <row r="143" spans="1:17" ht="16" customHeight="1">
      <c r="A143" s="133"/>
      <c r="B143" s="138" t="s">
        <v>32</v>
      </c>
      <c r="C143" s="427"/>
      <c r="D143" s="427"/>
      <c r="E143" s="427"/>
      <c r="F143" s="427"/>
      <c r="G143" s="428"/>
      <c r="H143" s="429">
        <f>H142/Revenue!H$123</f>
        <v>0</v>
      </c>
      <c r="I143" s="429">
        <f>I142/Revenue!I$123</f>
        <v>0</v>
      </c>
      <c r="J143" s="429">
        <f>J142/Revenue!J$123</f>
        <v>0</v>
      </c>
      <c r="K143" s="429">
        <f>K142/Revenue!K$123</f>
        <v>0</v>
      </c>
      <c r="L143" s="429">
        <f>L142/Revenue!L$123</f>
        <v>0</v>
      </c>
      <c r="M143" s="244"/>
      <c r="N143" s="15"/>
      <c r="O143" s="15"/>
      <c r="P143" s="15"/>
      <c r="Q143" s="16"/>
    </row>
    <row r="144" spans="1:17" ht="19" customHeight="1">
      <c r="A144" s="206"/>
      <c r="B144" s="430"/>
      <c r="C144" s="431"/>
      <c r="D144" s="432"/>
      <c r="E144" s="432"/>
      <c r="F144" s="432"/>
      <c r="G144" s="433"/>
      <c r="H144" s="434"/>
      <c r="I144" s="434"/>
      <c r="J144" s="434"/>
      <c r="K144" s="434"/>
      <c r="L144" s="434"/>
      <c r="M144" s="15"/>
      <c r="N144" s="15"/>
      <c r="O144" s="15"/>
      <c r="P144" s="15"/>
      <c r="Q144" s="16"/>
    </row>
    <row r="145" spans="1:17" ht="20" customHeight="1">
      <c r="A145" s="316"/>
      <c r="B145" s="317" t="s">
        <v>128</v>
      </c>
      <c r="C145" s="201"/>
      <c r="D145" s="201"/>
      <c r="E145" s="201"/>
      <c r="F145" s="201"/>
      <c r="G145" s="202"/>
      <c r="H145" s="212" t="str">
        <f t="shared" si="0"/>
        <v>Year 1</v>
      </c>
      <c r="I145" s="212" t="str">
        <f>I$3</f>
        <v>Year 2</v>
      </c>
      <c r="J145" s="212" t="str">
        <f>J$3</f>
        <v>Year 3</v>
      </c>
      <c r="K145" s="212" t="str">
        <f>K$3</f>
        <v>Year 4</v>
      </c>
      <c r="L145" s="213" t="str">
        <f>L$3</f>
        <v>Year 5</v>
      </c>
      <c r="M145" s="14"/>
      <c r="N145" s="15"/>
      <c r="O145" s="15"/>
      <c r="P145" s="15"/>
      <c r="Q145" s="16"/>
    </row>
    <row r="146" spans="1:17" ht="19" customHeight="1">
      <c r="A146" s="133"/>
      <c r="B146" s="80" t="s">
        <v>129</v>
      </c>
      <c r="C146" s="318"/>
      <c r="D146" s="273"/>
      <c r="E146" s="273"/>
      <c r="F146" s="273"/>
      <c r="G146" s="319"/>
      <c r="H146" s="320"/>
      <c r="I146" s="321"/>
      <c r="J146" s="321"/>
      <c r="K146" s="321"/>
      <c r="L146" s="321"/>
      <c r="M146" s="14"/>
      <c r="N146" s="15"/>
      <c r="O146" s="15"/>
      <c r="P146" s="15"/>
      <c r="Q146" s="16"/>
    </row>
    <row r="147" spans="1:17" ht="16" customHeight="1">
      <c r="A147" s="133"/>
      <c r="B147" s="14"/>
      <c r="C147" s="364" t="s">
        <v>66</v>
      </c>
      <c r="D147" s="267"/>
      <c r="E147" s="267"/>
      <c r="F147" s="267"/>
      <c r="G147" s="323"/>
      <c r="H147" s="324"/>
      <c r="I147" s="224"/>
      <c r="J147" s="224"/>
      <c r="K147" s="224"/>
      <c r="L147" s="224"/>
      <c r="M147" s="14"/>
      <c r="N147" s="15"/>
      <c r="O147" s="15"/>
      <c r="P147" s="15"/>
      <c r="Q147" s="16"/>
    </row>
    <row r="148" spans="1:17" ht="16" customHeight="1">
      <c r="A148" s="133"/>
      <c r="B148" s="14"/>
      <c r="C148" s="435" t="s">
        <v>66</v>
      </c>
      <c r="D148" s="436"/>
      <c r="E148" s="436"/>
      <c r="F148" s="436"/>
      <c r="G148" s="437"/>
      <c r="H148" s="438">
        <f>Revenue!H10</f>
        <v>150000</v>
      </c>
      <c r="I148" s="439">
        <f>Revenue!I10</f>
        <v>270000</v>
      </c>
      <c r="J148" s="439">
        <f>Revenue!J10</f>
        <v>486000</v>
      </c>
      <c r="K148" s="439">
        <f>Revenue!K10</f>
        <v>874800</v>
      </c>
      <c r="L148" s="439">
        <f>Revenue!L10</f>
        <v>1574640</v>
      </c>
      <c r="M148" s="14"/>
      <c r="N148" s="15"/>
      <c r="O148" s="15"/>
      <c r="P148" s="15"/>
      <c r="Q148" s="16"/>
    </row>
    <row r="149" spans="1:17" ht="16" customHeight="1">
      <c r="A149" s="133"/>
      <c r="B149" s="14"/>
      <c r="C149" s="440" t="s">
        <v>130</v>
      </c>
      <c r="D149" s="441"/>
      <c r="E149" s="441"/>
      <c r="F149" s="441"/>
      <c r="G149" s="442"/>
      <c r="H149" s="443">
        <f>SUM(H148)</f>
        <v>150000</v>
      </c>
      <c r="I149" s="444">
        <f>SUM(I148)</f>
        <v>270000</v>
      </c>
      <c r="J149" s="444">
        <f>SUM(J148)</f>
        <v>486000</v>
      </c>
      <c r="K149" s="444">
        <f>SUM(K148)</f>
        <v>874800</v>
      </c>
      <c r="L149" s="444">
        <f>SUM(L148)</f>
        <v>1574640</v>
      </c>
      <c r="M149" s="14"/>
      <c r="N149" s="15"/>
      <c r="O149" s="15"/>
      <c r="P149" s="15"/>
      <c r="Q149" s="16"/>
    </row>
    <row r="150" spans="1:17" ht="16" customHeight="1">
      <c r="A150" s="133"/>
      <c r="B150" s="14"/>
      <c r="C150" s="35"/>
      <c r="D150" s="267"/>
      <c r="E150" s="267"/>
      <c r="F150" s="267"/>
      <c r="G150" s="323"/>
      <c r="H150" s="330"/>
      <c r="I150" s="235"/>
      <c r="J150" s="235"/>
      <c r="K150" s="235"/>
      <c r="L150" s="235"/>
      <c r="M150" s="14"/>
      <c r="N150" s="15"/>
      <c r="O150" s="15"/>
      <c r="P150" s="15"/>
      <c r="Q150" s="16"/>
    </row>
    <row r="151" spans="1:17" ht="19" customHeight="1">
      <c r="A151" s="133"/>
      <c r="B151" s="391"/>
      <c r="C151" s="364" t="s">
        <v>131</v>
      </c>
      <c r="D151" s="322"/>
      <c r="E151" s="267"/>
      <c r="F151" s="267"/>
      <c r="G151" s="323"/>
      <c r="H151" s="330"/>
      <c r="I151" s="235"/>
      <c r="J151" s="235"/>
      <c r="K151" s="235"/>
      <c r="L151" s="235"/>
      <c r="M151" s="14"/>
      <c r="N151" s="15"/>
      <c r="O151" s="15"/>
      <c r="P151" s="15"/>
      <c r="Q151" s="16"/>
    </row>
    <row r="152" spans="1:17" ht="19" customHeight="1">
      <c r="A152" s="133"/>
      <c r="B152" s="391"/>
      <c r="C152" s="233" t="s">
        <v>270</v>
      </c>
      <c r="D152" s="229">
        <v>0.04</v>
      </c>
      <c r="E152" s="272"/>
      <c r="F152" s="267"/>
      <c r="G152" s="323"/>
      <c r="H152" s="330">
        <f>Revenue!H123*$D152</f>
        <v>41719.336685714283</v>
      </c>
      <c r="I152" s="235">
        <f>Revenue!I123*$D152</f>
        <v>86136.811885714284</v>
      </c>
      <c r="J152" s="235">
        <f>Revenue!J123*$D152</f>
        <v>153035.6758857143</v>
      </c>
      <c r="K152" s="235">
        <f>Revenue!K123*$D152</f>
        <v>258149.88068571428</v>
      </c>
      <c r="L152" s="235">
        <f>Revenue!L123*$D152</f>
        <v>429600.58788571425</v>
      </c>
      <c r="M152" s="14"/>
      <c r="N152" s="15"/>
      <c r="O152" s="15"/>
      <c r="P152" s="15"/>
      <c r="Q152" s="16"/>
    </row>
    <row r="153" spans="1:17" ht="19" customHeight="1">
      <c r="A153" s="133"/>
      <c r="B153" s="395"/>
      <c r="C153" s="255"/>
      <c r="D153" s="339"/>
      <c r="E153" s="339"/>
      <c r="F153" s="339"/>
      <c r="G153" s="340"/>
      <c r="H153" s="401"/>
      <c r="I153" s="402"/>
      <c r="J153" s="402"/>
      <c r="K153" s="402"/>
      <c r="L153" s="402"/>
      <c r="M153" s="14"/>
      <c r="N153" s="15"/>
      <c r="O153" s="15"/>
      <c r="P153" s="15"/>
      <c r="Q153" s="16"/>
    </row>
    <row r="154" spans="1:17" ht="16" customHeight="1">
      <c r="A154" s="133"/>
      <c r="B154" s="348" t="str">
        <f>"Total "&amp;B146&amp;" Expenses"</f>
        <v>Total Advertising and promotion Expenses</v>
      </c>
      <c r="C154" s="344"/>
      <c r="D154" s="344"/>
      <c r="E154" s="344"/>
      <c r="F154" s="344"/>
      <c r="G154" s="345"/>
      <c r="H154" s="349">
        <f>SUM(H149:H152)</f>
        <v>191719.33668571428</v>
      </c>
      <c r="I154" s="350">
        <f>SUM(I149:I152)</f>
        <v>356136.8118857143</v>
      </c>
      <c r="J154" s="350">
        <f>SUM(J149:J152)</f>
        <v>639035.67588571436</v>
      </c>
      <c r="K154" s="350">
        <f>SUM(K149:K152)</f>
        <v>1132949.8806857143</v>
      </c>
      <c r="L154" s="350">
        <f>SUM(L149:L152)</f>
        <v>2004240.5878857141</v>
      </c>
      <c r="M154" s="14"/>
      <c r="N154" s="15"/>
      <c r="O154" s="15"/>
      <c r="P154" s="15"/>
      <c r="Q154" s="16"/>
    </row>
    <row r="155" spans="1:17" ht="16" customHeight="1">
      <c r="A155" s="133"/>
      <c r="B155" s="95" t="s">
        <v>32</v>
      </c>
      <c r="C155" s="135"/>
      <c r="D155" s="135"/>
      <c r="E155" s="135"/>
      <c r="F155" s="135"/>
      <c r="G155" s="351"/>
      <c r="H155" s="352">
        <f>H154/[2]Revenues!H$69</f>
        <v>0.23365202434819765</v>
      </c>
      <c r="I155" s="353">
        <f>I154/[2]Revenues!I$69</f>
        <v>0.32991753922492328</v>
      </c>
      <c r="J155" s="353">
        <f>J154/[2]Revenues!J$69</f>
        <v>0.44854748840254627</v>
      </c>
      <c r="K155" s="353">
        <f>K154/[2]Revenues!K$69</f>
        <v>0.59802411770090613</v>
      </c>
      <c r="L155" s="353">
        <f>L154/[2]Revenues!L$69</f>
        <v>0.78998999653967339</v>
      </c>
      <c r="M155" s="14"/>
      <c r="N155" s="15"/>
      <c r="O155" s="15"/>
      <c r="P155" s="15"/>
      <c r="Q155" s="16"/>
    </row>
    <row r="156" spans="1:17" ht="16" customHeight="1">
      <c r="A156" s="133"/>
      <c r="B156" s="14"/>
      <c r="C156" s="35"/>
      <c r="D156" s="267"/>
      <c r="E156" s="267"/>
      <c r="F156" s="267"/>
      <c r="G156" s="323"/>
      <c r="H156" s="324"/>
      <c r="I156" s="224"/>
      <c r="J156" s="224"/>
      <c r="K156" s="224"/>
      <c r="L156" s="224"/>
      <c r="M156" s="14"/>
      <c r="N156" s="15"/>
      <c r="O156" s="15"/>
      <c r="P156" s="15"/>
      <c r="Q156" s="16"/>
    </row>
    <row r="157" spans="1:17" ht="19" customHeight="1">
      <c r="A157" s="133"/>
      <c r="B157" s="124" t="s">
        <v>133</v>
      </c>
      <c r="C157" s="35"/>
      <c r="D157" s="267"/>
      <c r="E157" s="267"/>
      <c r="F157" s="267"/>
      <c r="G157" s="323"/>
      <c r="H157" s="324"/>
      <c r="I157" s="224"/>
      <c r="J157" s="224"/>
      <c r="K157" s="224"/>
      <c r="L157" s="224"/>
      <c r="M157" s="14"/>
      <c r="N157" s="15"/>
      <c r="O157" s="15"/>
      <c r="P157" s="15"/>
      <c r="Q157" s="16"/>
    </row>
    <row r="158" spans="1:17" ht="16" customHeight="1">
      <c r="A158" s="133"/>
      <c r="B158" s="14"/>
      <c r="C158" s="364" t="s">
        <v>134</v>
      </c>
      <c r="D158" s="322"/>
      <c r="E158" s="267"/>
      <c r="F158" s="267"/>
      <c r="G158" s="323"/>
      <c r="H158" s="324"/>
      <c r="I158" s="224"/>
      <c r="J158" s="224"/>
      <c r="K158" s="224"/>
      <c r="L158" s="224"/>
      <c r="M158" s="14"/>
      <c r="N158" s="15"/>
      <c r="O158" s="15"/>
      <c r="P158" s="15"/>
      <c r="Q158" s="16"/>
    </row>
    <row r="159" spans="1:17" ht="16" customHeight="1">
      <c r="A159" s="133"/>
      <c r="B159" s="14"/>
      <c r="C159" s="233" t="s">
        <v>73</v>
      </c>
      <c r="D159" s="326">
        <v>24000</v>
      </c>
      <c r="E159" s="272"/>
      <c r="F159" s="267"/>
      <c r="G159" s="323"/>
      <c r="H159" s="324"/>
      <c r="I159" s="224"/>
      <c r="J159" s="224"/>
      <c r="K159" s="224"/>
      <c r="L159" s="224"/>
      <c r="M159" s="14"/>
      <c r="N159" s="15"/>
      <c r="O159" s="15"/>
      <c r="P159" s="15"/>
      <c r="Q159" s="16"/>
    </row>
    <row r="160" spans="1:17" ht="16" customHeight="1">
      <c r="A160" s="133"/>
      <c r="B160" s="14"/>
      <c r="C160" s="233" t="s">
        <v>197</v>
      </c>
      <c r="D160" s="495">
        <v>86000</v>
      </c>
      <c r="E160" s="272"/>
      <c r="F160" s="267"/>
      <c r="G160" s="323"/>
      <c r="H160" s="330">
        <f>D161*[2]Revenues!H19</f>
        <v>47380.410396716819</v>
      </c>
      <c r="I160" s="330">
        <f>D161*[2]Revenues!I19</f>
        <v>62240.714090287263</v>
      </c>
      <c r="J160" s="330">
        <f>D161*[2]Revenues!J19</f>
        <v>82431.360191518441</v>
      </c>
      <c r="K160" s="330">
        <f>D161*[2]Revenues!K19</f>
        <v>109992.41880300955</v>
      </c>
      <c r="L160" s="330">
        <f>D161*[2]Revenues!L19</f>
        <v>147766.17803932965</v>
      </c>
      <c r="M160" s="501"/>
      <c r="N160" s="15"/>
      <c r="O160" s="15"/>
      <c r="P160" s="15"/>
      <c r="Q160" s="16"/>
    </row>
    <row r="161" spans="1:17" ht="19" customHeight="1">
      <c r="A161" s="133"/>
      <c r="B161" s="391"/>
      <c r="C161" s="496" t="s">
        <v>198</v>
      </c>
      <c r="D161" s="497">
        <f>D159/D160</f>
        <v>0.27906976744186046</v>
      </c>
      <c r="E161" s="267"/>
      <c r="F161" s="267"/>
      <c r="G161" s="323"/>
      <c r="H161" s="330"/>
      <c r="I161" s="235"/>
      <c r="J161" s="235"/>
      <c r="K161" s="235"/>
      <c r="L161" s="235"/>
      <c r="M161" s="14"/>
      <c r="N161" s="15"/>
      <c r="O161" s="15"/>
      <c r="P161" s="15"/>
      <c r="Q161" s="16"/>
    </row>
    <row r="162" spans="1:17" ht="19" customHeight="1">
      <c r="A162" s="133"/>
      <c r="B162" s="391"/>
      <c r="C162" s="496"/>
      <c r="D162" s="267"/>
      <c r="E162" s="267"/>
      <c r="F162" s="267"/>
      <c r="G162" s="323"/>
      <c r="H162" s="330"/>
      <c r="I162" s="235"/>
      <c r="J162" s="235"/>
      <c r="K162" s="235"/>
      <c r="L162" s="235"/>
      <c r="M162" s="14"/>
      <c r="N162" s="15"/>
      <c r="O162" s="15"/>
      <c r="P162" s="15"/>
      <c r="Q162" s="16"/>
    </row>
    <row r="163" spans="1:17" ht="16" customHeight="1">
      <c r="A163" s="133"/>
      <c r="B163" s="14"/>
      <c r="C163" s="364" t="s">
        <v>135</v>
      </c>
      <c r="D163" s="322"/>
      <c r="E163" s="267"/>
      <c r="F163" s="267"/>
      <c r="G163" s="323"/>
      <c r="H163" s="330"/>
      <c r="I163" s="235"/>
      <c r="J163" s="235"/>
      <c r="K163" s="235"/>
      <c r="L163" s="235"/>
      <c r="M163" s="14"/>
      <c r="N163" s="15"/>
      <c r="O163" s="15"/>
      <c r="P163" s="15"/>
      <c r="Q163" s="16"/>
    </row>
    <row r="164" spans="1:17" ht="16" customHeight="1">
      <c r="A164" s="133"/>
      <c r="B164" s="14"/>
      <c r="C164" s="233" t="s">
        <v>199</v>
      </c>
      <c r="D164" s="326">
        <v>4000</v>
      </c>
      <c r="E164" s="272"/>
      <c r="F164" s="267"/>
      <c r="G164" s="323"/>
      <c r="H164" s="330"/>
      <c r="I164" s="235"/>
      <c r="J164" s="235"/>
      <c r="K164" s="235"/>
      <c r="L164" s="235"/>
      <c r="M164" s="14"/>
      <c r="N164" s="15"/>
      <c r="O164" s="15"/>
      <c r="P164" s="15"/>
      <c r="Q164" s="16"/>
    </row>
    <row r="165" spans="1:17" ht="16" customHeight="1">
      <c r="A165" s="133"/>
      <c r="B165" s="14"/>
      <c r="C165" s="233" t="s">
        <v>201</v>
      </c>
      <c r="D165" s="229">
        <v>0.1</v>
      </c>
      <c r="E165" s="272"/>
      <c r="F165" s="267"/>
      <c r="G165" s="323"/>
      <c r="H165" s="330">
        <f>(D164*H121)*10/100+(D164*H121)</f>
        <v>127600</v>
      </c>
      <c r="I165" s="330">
        <f>(D164*I121)*10/100+(D164*I121)</f>
        <v>158400</v>
      </c>
      <c r="J165" s="330">
        <f>(D164*J121)*10/100 +(D164*J121)</f>
        <v>198000</v>
      </c>
      <c r="K165" s="330">
        <f>(D164*K121)*10/100+(D164*K121)</f>
        <v>246400</v>
      </c>
      <c r="L165" s="499">
        <f>(D164*L121)*10/100+(D164*L121)</f>
        <v>404800</v>
      </c>
      <c r="M165" s="500"/>
      <c r="N165" s="15"/>
      <c r="O165" s="15"/>
      <c r="P165" s="15"/>
      <c r="Q165" s="16"/>
    </row>
    <row r="166" spans="1:17" ht="19" customHeight="1">
      <c r="A166" s="133"/>
      <c r="B166" s="391"/>
      <c r="C166" s="35"/>
      <c r="D166" s="267"/>
      <c r="E166" s="267"/>
      <c r="F166" s="267"/>
      <c r="G166" s="323"/>
      <c r="H166" s="330"/>
      <c r="I166" s="235"/>
      <c r="J166" s="235"/>
      <c r="K166" s="235"/>
      <c r="L166" s="235"/>
      <c r="M166" s="14"/>
      <c r="N166" s="15"/>
      <c r="O166" s="15"/>
      <c r="P166" s="15"/>
      <c r="Q166" s="16"/>
    </row>
    <row r="167" spans="1:17" ht="16" customHeight="1">
      <c r="A167" s="133"/>
      <c r="B167" s="14"/>
      <c r="C167" s="364" t="s">
        <v>136</v>
      </c>
      <c r="D167" s="322"/>
      <c r="E167" s="267"/>
      <c r="F167" s="267"/>
      <c r="G167" s="323"/>
      <c r="H167" s="330"/>
      <c r="I167" s="235"/>
      <c r="J167" s="235"/>
      <c r="K167" s="235"/>
      <c r="L167" s="235"/>
      <c r="M167" s="14"/>
      <c r="N167" s="15"/>
      <c r="O167" s="15"/>
      <c r="P167" s="15"/>
      <c r="Q167" s="16"/>
    </row>
    <row r="168" spans="1:17" ht="19" customHeight="1">
      <c r="A168" s="133"/>
      <c r="B168" s="391"/>
      <c r="C168" s="233" t="s">
        <v>270</v>
      </c>
      <c r="D168" s="333">
        <v>0.03</v>
      </c>
      <c r="E168" s="272"/>
      <c r="F168" s="267"/>
      <c r="G168" s="323"/>
      <c r="H168" s="498"/>
      <c r="I168" s="84"/>
      <c r="J168" s="84"/>
      <c r="K168" s="84"/>
      <c r="L168" s="84"/>
      <c r="M168" s="14"/>
      <c r="N168" s="15"/>
      <c r="O168" s="15"/>
      <c r="P168" s="15"/>
      <c r="Q168" s="16"/>
    </row>
    <row r="169" spans="1:17" ht="16" customHeight="1">
      <c r="A169" s="133"/>
      <c r="B169" s="14"/>
      <c r="C169" s="233" t="s">
        <v>137</v>
      </c>
      <c r="D169" s="445">
        <v>9000</v>
      </c>
      <c r="E169" s="272"/>
      <c r="F169" s="267"/>
      <c r="G169" s="323"/>
      <c r="H169" s="330">
        <f>[2]Revenues!H69*$D168+D169</f>
        <v>33616.008000000002</v>
      </c>
      <c r="I169" s="235">
        <f>[2]Revenues!I69*$D168+E169</f>
        <v>32384.166000000005</v>
      </c>
      <c r="J169" s="235">
        <f>[2]Revenues!J69*$D168+F169</f>
        <v>42740.335799999993</v>
      </c>
      <c r="K169" s="235">
        <f>[2]Revenues!K69*$D168+G169</f>
        <v>56834.658359999994</v>
      </c>
      <c r="L169" s="235">
        <f>[2]Revenues!L69*$D168+H169</f>
        <v>109727.37384000001</v>
      </c>
      <c r="M169" s="300"/>
      <c r="N169" s="15"/>
      <c r="O169" s="15"/>
      <c r="P169" s="15"/>
      <c r="Q169" s="16"/>
    </row>
    <row r="170" spans="1:17" ht="16" customHeight="1">
      <c r="A170" s="206"/>
      <c r="B170" s="163"/>
      <c r="C170" s="255"/>
      <c r="D170" s="339"/>
      <c r="E170" s="339"/>
      <c r="F170" s="339"/>
      <c r="G170" s="340"/>
      <c r="H170" s="401"/>
      <c r="I170" s="402"/>
      <c r="J170" s="402"/>
      <c r="K170" s="402"/>
      <c r="L170" s="402"/>
      <c r="M170" s="14"/>
      <c r="N170" s="15"/>
      <c r="O170" s="15"/>
      <c r="P170" s="15"/>
      <c r="Q170" s="16"/>
    </row>
    <row r="171" spans="1:17" ht="16" customHeight="1">
      <c r="A171" s="133"/>
      <c r="B171" s="348" t="str">
        <f>"Total "&amp;B158&amp;" Expenses"</f>
        <v>Total  Expenses</v>
      </c>
      <c r="C171" s="344"/>
      <c r="D171" s="344"/>
      <c r="E171" s="344"/>
      <c r="F171" s="344"/>
      <c r="G171" s="345"/>
      <c r="H171" s="349">
        <f>SUM(H161,H165,H169)</f>
        <v>161216.008</v>
      </c>
      <c r="I171" s="350">
        <f>SUM(I161,I165,I169)</f>
        <v>190784.166</v>
      </c>
      <c r="J171" s="350">
        <f>SUM(J161,J165,J169)</f>
        <v>240740.3358</v>
      </c>
      <c r="K171" s="350">
        <f>SUM(K161,K165,K169)</f>
        <v>303234.65836</v>
      </c>
      <c r="L171" s="350">
        <f>SUM(L161,L165,L169)</f>
        <v>514527.37384000001</v>
      </c>
      <c r="M171" s="14"/>
      <c r="N171" s="15"/>
      <c r="O171" s="15"/>
      <c r="P171" s="15"/>
      <c r="Q171" s="16"/>
    </row>
    <row r="172" spans="1:17" ht="16" customHeight="1">
      <c r="A172" s="133"/>
      <c r="B172" s="95" t="s">
        <v>32</v>
      </c>
      <c r="C172" s="135"/>
      <c r="D172" s="135"/>
      <c r="E172" s="135"/>
      <c r="F172" s="135"/>
      <c r="G172" s="351"/>
      <c r="H172" s="352">
        <f>H171/Revenue!H$123</f>
        <v>0.15457197626558075</v>
      </c>
      <c r="I172" s="353">
        <f>I171/Revenue!I$123</f>
        <v>8.8595879890763118E-2</v>
      </c>
      <c r="J172" s="353">
        <f>J171/Revenue!J$123</f>
        <v>6.2923977538357212E-2</v>
      </c>
      <c r="K172" s="353">
        <f>K171/Revenue!K$123</f>
        <v>4.6985829713270241E-2</v>
      </c>
      <c r="L172" s="353">
        <f>L171/Revenue!L$123</f>
        <v>4.790751114864663E-2</v>
      </c>
      <c r="M172" s="244"/>
      <c r="N172" s="15"/>
      <c r="O172" s="15"/>
      <c r="P172" s="15"/>
      <c r="Q172" s="16"/>
    </row>
    <row r="173" spans="1:17" ht="16" customHeight="1">
      <c r="A173" s="133"/>
      <c r="B173" s="417"/>
      <c r="C173" s="221"/>
      <c r="D173" s="221"/>
      <c r="E173" s="221"/>
      <c r="F173" s="221"/>
      <c r="G173" s="323"/>
      <c r="H173" s="418"/>
      <c r="I173" s="419"/>
      <c r="J173" s="419"/>
      <c r="K173" s="419"/>
      <c r="L173" s="419"/>
      <c r="M173" s="244"/>
      <c r="N173" s="15"/>
      <c r="O173" s="15"/>
      <c r="P173" s="15"/>
      <c r="Q173" s="16"/>
    </row>
    <row r="174" spans="1:17" ht="19" customHeight="1">
      <c r="A174" s="133"/>
      <c r="B174" s="124" t="s">
        <v>138</v>
      </c>
      <c r="C174" s="35"/>
      <c r="D174" s="267"/>
      <c r="E174" s="267"/>
      <c r="F174" s="267"/>
      <c r="G174" s="323"/>
      <c r="H174" s="324"/>
      <c r="I174" s="224"/>
      <c r="J174" s="224"/>
      <c r="K174" s="224"/>
      <c r="L174" s="224"/>
      <c r="M174" s="14"/>
      <c r="N174" s="15"/>
      <c r="O174" s="15"/>
      <c r="P174" s="15"/>
      <c r="Q174" s="16"/>
    </row>
    <row r="175" spans="1:17" ht="19" customHeight="1">
      <c r="A175" s="133"/>
      <c r="B175" s="391"/>
      <c r="C175" s="364" t="s">
        <v>139</v>
      </c>
      <c r="D175" s="322"/>
      <c r="E175" s="267"/>
      <c r="F175" s="267"/>
      <c r="G175" s="323"/>
      <c r="H175" s="324"/>
      <c r="I175" s="224"/>
      <c r="J175" s="224"/>
      <c r="K175" s="224"/>
      <c r="L175" s="224"/>
      <c r="M175" s="14"/>
      <c r="N175" s="15"/>
      <c r="O175" s="15"/>
      <c r="P175" s="15"/>
      <c r="Q175" s="16"/>
    </row>
    <row r="176" spans="1:17" ht="19" customHeight="1">
      <c r="A176" s="133"/>
      <c r="B176" s="391"/>
      <c r="C176" s="233" t="s">
        <v>132</v>
      </c>
      <c r="D176" s="229">
        <v>2.5000000000000001E-2</v>
      </c>
      <c r="E176" s="272"/>
      <c r="F176" s="267"/>
      <c r="G176" s="323"/>
      <c r="H176" s="330">
        <f>Revenue!H123*$D176</f>
        <v>26074.58542857143</v>
      </c>
      <c r="I176" s="235">
        <f>Revenue!I123*$D176</f>
        <v>53835.507428571436</v>
      </c>
      <c r="J176" s="235">
        <f>Revenue!J123*$D176</f>
        <v>95647.297428571444</v>
      </c>
      <c r="K176" s="235">
        <f>Revenue!K123*$D176</f>
        <v>161343.67542857141</v>
      </c>
      <c r="L176" s="235">
        <f>Revenue!L123*$D176</f>
        <v>268500.36742857139</v>
      </c>
      <c r="M176" s="331"/>
      <c r="N176" s="15"/>
      <c r="O176" s="15"/>
      <c r="P176" s="15"/>
      <c r="Q176" s="16"/>
    </row>
    <row r="177" spans="1:17" ht="19" customHeight="1">
      <c r="A177" s="133"/>
      <c r="B177" s="391"/>
      <c r="C177" s="446"/>
      <c r="D177" s="446"/>
      <c r="E177" s="267"/>
      <c r="F177" s="267"/>
      <c r="G177" s="323"/>
      <c r="H177" s="330"/>
      <c r="I177" s="235"/>
      <c r="J177" s="235"/>
      <c r="K177" s="235"/>
      <c r="L177" s="235"/>
      <c r="M177" s="14"/>
      <c r="N177" s="15"/>
      <c r="O177" s="15"/>
      <c r="P177" s="15"/>
      <c r="Q177" s="16"/>
    </row>
    <row r="178" spans="1:17" ht="19" customHeight="1">
      <c r="A178" s="133"/>
      <c r="B178" s="391"/>
      <c r="C178" s="364" t="s">
        <v>140</v>
      </c>
      <c r="D178" s="322"/>
      <c r="E178" s="267"/>
      <c r="F178" s="267"/>
      <c r="G178" s="323"/>
      <c r="H178" s="330"/>
      <c r="I178" s="235"/>
      <c r="J178" s="235"/>
      <c r="K178" s="235"/>
      <c r="L178" s="235"/>
      <c r="M178" s="14"/>
      <c r="N178" s="15"/>
      <c r="O178" s="15"/>
      <c r="P178" s="15"/>
      <c r="Q178" s="16"/>
    </row>
    <row r="179" spans="1:17" ht="19" customHeight="1">
      <c r="A179" s="133"/>
      <c r="B179" s="391"/>
      <c r="C179" s="233" t="s">
        <v>141</v>
      </c>
      <c r="D179" s="326">
        <v>600</v>
      </c>
      <c r="E179" s="272"/>
      <c r="F179" s="267"/>
      <c r="G179" s="323"/>
      <c r="H179" s="330"/>
      <c r="I179" s="235"/>
      <c r="J179" s="235"/>
      <c r="K179" s="235"/>
      <c r="L179" s="235"/>
      <c r="M179" s="14"/>
      <c r="N179" s="15"/>
      <c r="O179" s="15"/>
      <c r="P179" s="15"/>
      <c r="Q179" s="16"/>
    </row>
    <row r="180" spans="1:17" ht="19" customHeight="1">
      <c r="A180" s="133"/>
      <c r="B180" s="391"/>
      <c r="C180" s="233" t="s">
        <v>142</v>
      </c>
      <c r="D180" s="447">
        <v>1E-4</v>
      </c>
      <c r="E180" s="272"/>
      <c r="F180" s="267"/>
      <c r="G180" s="323"/>
      <c r="H180" s="330">
        <f>$D179+$D180*Revenue!H123</f>
        <v>704.2983417142857</v>
      </c>
      <c r="I180" s="235">
        <f>$D179+$D180*Revenue!I123</f>
        <v>815.34202971428567</v>
      </c>
      <c r="J180" s="235">
        <f>$D179+$D180*Revenue!J123</f>
        <v>982.58918971428579</v>
      </c>
      <c r="K180" s="235">
        <f>$D179+$D180*Revenue!K123</f>
        <v>1245.3747017142857</v>
      </c>
      <c r="L180" s="235">
        <f>$D179+$D180*Revenue!L123</f>
        <v>1674.0014697142856</v>
      </c>
      <c r="M180" s="492"/>
      <c r="N180" s="15"/>
      <c r="O180" s="15"/>
      <c r="P180" s="15"/>
      <c r="Q180" s="16"/>
    </row>
    <row r="181" spans="1:17" ht="19" customHeight="1">
      <c r="A181" s="133"/>
      <c r="B181" s="395"/>
      <c r="C181" s="255"/>
      <c r="D181" s="339"/>
      <c r="E181" s="339"/>
      <c r="F181" s="339"/>
      <c r="G181" s="340"/>
      <c r="H181" s="401"/>
      <c r="I181" s="402"/>
      <c r="J181" s="402"/>
      <c r="K181" s="402"/>
      <c r="L181" s="402"/>
      <c r="M181" s="14"/>
      <c r="N181" s="15"/>
      <c r="O181" s="15"/>
      <c r="P181" s="15"/>
      <c r="Q181" s="16"/>
    </row>
    <row r="182" spans="1:17" ht="16" customHeight="1">
      <c r="A182" s="133"/>
      <c r="B182" s="348" t="str">
        <f>"Total "&amp;B174&amp;" Expenses"</f>
        <v>Total Banking and insurance Expenses</v>
      </c>
      <c r="C182" s="344"/>
      <c r="D182" s="344"/>
      <c r="E182" s="344"/>
      <c r="F182" s="344"/>
      <c r="G182" s="345"/>
      <c r="H182" s="349">
        <f>SUM(H176,H180)</f>
        <v>26778.883770285716</v>
      </c>
      <c r="I182" s="349">
        <f t="shared" ref="I182:L182" si="7">SUM(I176,I180)</f>
        <v>54650.849458285724</v>
      </c>
      <c r="J182" s="349">
        <f t="shared" si="7"/>
        <v>96629.886618285731</v>
      </c>
      <c r="K182" s="349">
        <f t="shared" si="7"/>
        <v>162589.0501302857</v>
      </c>
      <c r="L182" s="349">
        <f t="shared" si="7"/>
        <v>270174.36889828567</v>
      </c>
      <c r="M182" s="14"/>
      <c r="N182" s="15"/>
      <c r="O182" s="15"/>
      <c r="P182" s="15"/>
      <c r="Q182" s="16"/>
    </row>
    <row r="183" spans="1:17" ht="16" customHeight="1">
      <c r="A183" s="133"/>
      <c r="B183" s="95" t="s">
        <v>32</v>
      </c>
      <c r="C183" s="135"/>
      <c r="D183" s="135"/>
      <c r="E183" s="135"/>
      <c r="F183" s="135"/>
      <c r="G183" s="351"/>
      <c r="H183" s="352">
        <f>H182/Revenue!H$123</f>
        <v>2.5675272808884767E-2</v>
      </c>
      <c r="I183" s="353">
        <f>I182/Revenue!I$123</f>
        <v>2.5378626518379195E-2</v>
      </c>
      <c r="J183" s="353">
        <f>J182/Revenue!J$123</f>
        <v>2.5256826177040729E-2</v>
      </c>
      <c r="K183" s="353">
        <f>K182/Revenue!K$123</f>
        <v>2.5192969246920625E-2</v>
      </c>
      <c r="L183" s="353">
        <f>L182/Revenue!L$123</f>
        <v>2.5155865845338143E-2</v>
      </c>
      <c r="M183" s="244"/>
      <c r="N183" s="15"/>
      <c r="O183" s="15"/>
      <c r="P183" s="15"/>
      <c r="Q183" s="16"/>
    </row>
    <row r="184" spans="1:17" ht="16" customHeight="1">
      <c r="A184" s="133"/>
      <c r="B184" s="417"/>
      <c r="C184" s="221"/>
      <c r="D184" s="221"/>
      <c r="E184" s="221"/>
      <c r="F184" s="221"/>
      <c r="G184" s="323"/>
      <c r="H184" s="418"/>
      <c r="I184" s="419"/>
      <c r="J184" s="419"/>
      <c r="K184" s="419"/>
      <c r="L184" s="419"/>
      <c r="M184" s="244"/>
      <c r="N184" s="15"/>
      <c r="O184" s="15"/>
      <c r="P184" s="15"/>
      <c r="Q184" s="16"/>
    </row>
    <row r="185" spans="1:17" ht="19" customHeight="1">
      <c r="A185" s="133"/>
      <c r="B185" s="124" t="s">
        <v>143</v>
      </c>
      <c r="C185" s="35"/>
      <c r="D185" s="267"/>
      <c r="E185" s="267"/>
      <c r="F185" s="267"/>
      <c r="G185" s="323"/>
      <c r="H185" s="324"/>
      <c r="I185" s="224"/>
      <c r="J185" s="224"/>
      <c r="K185" s="224"/>
      <c r="L185" s="224"/>
      <c r="M185" s="14"/>
      <c r="N185" s="15"/>
      <c r="O185" s="15"/>
      <c r="P185" s="15"/>
      <c r="Q185" s="16"/>
    </row>
    <row r="186" spans="1:17" ht="19" customHeight="1">
      <c r="A186" s="133"/>
      <c r="B186" s="391"/>
      <c r="C186" s="364" t="s">
        <v>144</v>
      </c>
      <c r="D186" s="322"/>
      <c r="E186" s="267"/>
      <c r="F186" s="267"/>
      <c r="G186" s="323"/>
      <c r="H186" s="324"/>
      <c r="I186" s="224"/>
      <c r="J186" s="224"/>
      <c r="K186" s="224"/>
      <c r="L186" s="224"/>
      <c r="M186" s="14"/>
      <c r="N186" s="15"/>
      <c r="O186" s="15"/>
      <c r="P186" s="15"/>
      <c r="Q186" s="16"/>
    </row>
    <row r="187" spans="1:17" ht="19" customHeight="1">
      <c r="A187" s="133"/>
      <c r="B187" s="391"/>
      <c r="C187" s="233" t="s">
        <v>141</v>
      </c>
      <c r="D187" s="326">
        <v>12000</v>
      </c>
      <c r="E187" s="272"/>
      <c r="F187" s="267"/>
      <c r="G187" s="323"/>
      <c r="H187" s="324"/>
      <c r="I187" s="224"/>
      <c r="J187" s="224"/>
      <c r="K187" s="224"/>
      <c r="L187" s="224"/>
      <c r="M187" s="14"/>
      <c r="N187" s="15"/>
      <c r="O187" s="15"/>
      <c r="P187" s="15"/>
      <c r="Q187" s="16"/>
    </row>
    <row r="188" spans="1:17" ht="19" customHeight="1">
      <c r="A188" s="133"/>
      <c r="B188" s="391"/>
      <c r="C188" s="233" t="s">
        <v>142</v>
      </c>
      <c r="D188" s="447">
        <v>1E-3</v>
      </c>
      <c r="E188" s="272"/>
      <c r="F188" s="267"/>
      <c r="G188" s="323"/>
      <c r="H188" s="330">
        <f>$D187+$D188*Revenue!H123</f>
        <v>13042.983417142857</v>
      </c>
      <c r="I188" s="235">
        <f>$D187+$D188*Revenue!I123</f>
        <v>14153.420297142857</v>
      </c>
      <c r="J188" s="235">
        <f>$D187+$D188*Revenue!J123</f>
        <v>15825.891897142857</v>
      </c>
      <c r="K188" s="235">
        <f>$D187+$D188*Revenue!K123</f>
        <v>18453.747017142858</v>
      </c>
      <c r="L188" s="235">
        <f>$D187+$D188*Revenue!L123</f>
        <v>22740.014697142855</v>
      </c>
      <c r="M188" s="14"/>
      <c r="N188" s="15"/>
      <c r="O188" s="15"/>
      <c r="P188" s="15"/>
      <c r="Q188" s="16"/>
    </row>
    <row r="189" spans="1:17" ht="19" customHeight="1">
      <c r="A189" s="133"/>
      <c r="B189" s="391"/>
      <c r="C189" s="35"/>
      <c r="D189" s="267"/>
      <c r="E189" s="267"/>
      <c r="F189" s="267"/>
      <c r="G189" s="323"/>
      <c r="H189" s="330"/>
      <c r="I189" s="235"/>
      <c r="J189" s="235"/>
      <c r="K189" s="235"/>
      <c r="L189" s="235"/>
      <c r="M189" s="14"/>
      <c r="N189" s="15"/>
      <c r="O189" s="15"/>
      <c r="P189" s="15"/>
      <c r="Q189" s="16"/>
    </row>
    <row r="190" spans="1:17" ht="19" customHeight="1">
      <c r="A190" s="133"/>
      <c r="B190" s="391"/>
      <c r="C190" s="364" t="s">
        <v>145</v>
      </c>
      <c r="D190" s="322"/>
      <c r="E190" s="267"/>
      <c r="F190" s="267"/>
      <c r="G190" s="323"/>
      <c r="H190" s="330"/>
      <c r="I190" s="235"/>
      <c r="J190" s="235"/>
      <c r="K190" s="235"/>
      <c r="L190" s="235"/>
      <c r="M190" s="14"/>
      <c r="N190" s="15"/>
      <c r="O190" s="15"/>
      <c r="P190" s="15"/>
      <c r="Q190" s="16"/>
    </row>
    <row r="191" spans="1:17" ht="19" customHeight="1">
      <c r="A191" s="133"/>
      <c r="B191" s="391"/>
      <c r="C191" s="233" t="s">
        <v>210</v>
      </c>
      <c r="D191" s="447">
        <v>0.04</v>
      </c>
      <c r="E191" s="272"/>
      <c r="F191" s="267"/>
      <c r="G191" s="323"/>
      <c r="H191" s="330"/>
      <c r="I191" s="235"/>
      <c r="J191" s="235"/>
      <c r="K191" s="235"/>
      <c r="L191" s="235"/>
      <c r="M191" s="14"/>
      <c r="N191" s="15"/>
      <c r="O191" s="15"/>
      <c r="P191" s="15"/>
      <c r="Q191" s="16"/>
    </row>
    <row r="192" spans="1:17" ht="19" customHeight="1">
      <c r="A192" s="133"/>
      <c r="B192" s="391"/>
      <c r="C192" s="233" t="s">
        <v>202</v>
      </c>
      <c r="D192" s="326">
        <v>240</v>
      </c>
      <c r="E192" s="272"/>
      <c r="F192" s="267"/>
      <c r="G192" s="323"/>
      <c r="H192" s="330">
        <f>$D191*Revenue!H$123+$D192*H121</f>
        <v>48679.336685714283</v>
      </c>
      <c r="I192" s="330">
        <f>$D191*Revenue!I$123+$D192*I121</f>
        <v>94776.811885714284</v>
      </c>
      <c r="J192" s="330">
        <f>$D191*Revenue!J$123+$D192*J121</f>
        <v>163835.6758857143</v>
      </c>
      <c r="K192" s="330">
        <f>$D191*Revenue!K$123+$D192*K121</f>
        <v>271589.88068571431</v>
      </c>
      <c r="L192" s="330">
        <f>$D191*Revenue!L$123+$D192*L121</f>
        <v>451680.58788571425</v>
      </c>
      <c r="M192" s="492"/>
      <c r="N192" s="15"/>
      <c r="O192" s="15"/>
      <c r="P192" s="15"/>
      <c r="Q192" s="16"/>
    </row>
    <row r="193" spans="1:17" ht="19" customHeight="1">
      <c r="A193" s="133"/>
      <c r="B193" s="395"/>
      <c r="C193" s="255"/>
      <c r="D193" s="339"/>
      <c r="E193" s="339"/>
      <c r="F193" s="339"/>
      <c r="G193" s="340"/>
      <c r="H193" s="401"/>
      <c r="I193" s="402"/>
      <c r="J193" s="402"/>
      <c r="K193" s="402"/>
      <c r="L193" s="402"/>
      <c r="M193" s="493"/>
      <c r="N193" s="15"/>
      <c r="O193" s="15"/>
      <c r="P193" s="15"/>
      <c r="Q193" s="16"/>
    </row>
    <row r="194" spans="1:17" ht="16" customHeight="1">
      <c r="A194" s="133"/>
      <c r="B194" s="348" t="str">
        <f>"Total "&amp;B185&amp;" Expenses"</f>
        <v>Total Professional services Expenses</v>
      </c>
      <c r="C194" s="344"/>
      <c r="D194" s="344"/>
      <c r="E194" s="344"/>
      <c r="F194" s="344"/>
      <c r="G194" s="345"/>
      <c r="H194" s="349">
        <f>SUM(H188,H192)</f>
        <v>61722.320102857142</v>
      </c>
      <c r="I194" s="350">
        <f>SUM(I188,I192)</f>
        <v>108930.23218285714</v>
      </c>
      <c r="J194" s="350">
        <f>SUM(J188,J192)</f>
        <v>179661.56778285716</v>
      </c>
      <c r="K194" s="350">
        <f>SUM(K188,K192)</f>
        <v>290043.62770285713</v>
      </c>
      <c r="L194" s="350">
        <f>SUM(L188,L192)</f>
        <v>474420.60258285713</v>
      </c>
      <c r="M194" s="14"/>
      <c r="N194" s="15"/>
      <c r="O194" s="15"/>
      <c r="P194" s="15"/>
      <c r="Q194" s="16"/>
    </row>
    <row r="195" spans="1:17" ht="16" customHeight="1">
      <c r="A195" s="133"/>
      <c r="B195" s="95" t="s">
        <v>32</v>
      </c>
      <c r="C195" s="135"/>
      <c r="D195" s="135"/>
      <c r="E195" s="135"/>
      <c r="F195" s="135"/>
      <c r="G195" s="351"/>
      <c r="H195" s="352">
        <f>H194/Revenue!H$123</f>
        <v>5.9178620760758513E-2</v>
      </c>
      <c r="I195" s="353">
        <f>I194/Revenue!I$123</f>
        <v>5.0584752232244214E-2</v>
      </c>
      <c r="J195" s="353">
        <f>J194/Revenue!J$123</f>
        <v>4.6959394727547545E-2</v>
      </c>
      <c r="K195" s="353">
        <f>K194/Revenue!K$123</f>
        <v>4.4941896069434495E-2</v>
      </c>
      <c r="L195" s="353">
        <f>L194/Revenue!L$123</f>
        <v>4.417318001520671E-2</v>
      </c>
      <c r="M195" s="244"/>
      <c r="N195" s="15"/>
      <c r="O195" s="15"/>
      <c r="P195" s="15"/>
      <c r="Q195" s="16"/>
    </row>
    <row r="196" spans="1:17" ht="19" customHeight="1">
      <c r="A196" s="133"/>
      <c r="B196" s="391"/>
      <c r="C196" s="35"/>
      <c r="D196" s="267"/>
      <c r="E196" s="267"/>
      <c r="F196" s="267"/>
      <c r="G196" s="323"/>
      <c r="H196" s="324"/>
      <c r="I196" s="224"/>
      <c r="J196" s="224"/>
      <c r="K196" s="224"/>
      <c r="L196" s="224"/>
      <c r="M196" s="14"/>
      <c r="N196" s="15"/>
      <c r="O196" s="15"/>
      <c r="P196" s="15"/>
      <c r="Q196" s="16"/>
    </row>
    <row r="197" spans="1:17" ht="19" customHeight="1">
      <c r="A197" s="133"/>
      <c r="B197" s="124" t="s">
        <v>146</v>
      </c>
      <c r="C197" s="35"/>
      <c r="D197" s="267"/>
      <c r="E197" s="267"/>
      <c r="F197" s="267"/>
      <c r="G197" s="323"/>
      <c r="H197" s="324"/>
      <c r="I197" s="224"/>
      <c r="J197" s="224"/>
      <c r="K197" s="224"/>
      <c r="L197" s="224"/>
      <c r="M197" s="14"/>
      <c r="N197" s="15"/>
      <c r="O197" s="15"/>
      <c r="P197" s="15"/>
      <c r="Q197" s="16"/>
    </row>
    <row r="198" spans="1:17" ht="19" customHeight="1">
      <c r="A198" s="133"/>
      <c r="B198" s="391"/>
      <c r="C198" s="364" t="s">
        <v>147</v>
      </c>
      <c r="D198" s="322"/>
      <c r="E198" s="267" t="s">
        <v>204</v>
      </c>
      <c r="F198" s="267"/>
      <c r="G198" s="323"/>
      <c r="H198" s="324"/>
      <c r="I198" s="224"/>
      <c r="J198" s="224"/>
      <c r="K198" s="224"/>
      <c r="L198" s="224"/>
      <c r="M198" s="14"/>
      <c r="N198" s="15"/>
      <c r="O198" s="15"/>
      <c r="P198" s="15"/>
      <c r="Q198" s="16"/>
    </row>
    <row r="199" spans="1:17" ht="19" customHeight="1">
      <c r="A199" s="133"/>
      <c r="B199" s="391"/>
      <c r="C199" s="233" t="s">
        <v>203</v>
      </c>
      <c r="D199" s="445">
        <v>12000</v>
      </c>
      <c r="E199" s="445">
        <v>24000</v>
      </c>
      <c r="F199" s="267"/>
      <c r="G199" s="420" t="str">
        <f>C198</f>
        <v>Rent &amp; Office</v>
      </c>
      <c r="H199" s="330">
        <f>D199*(1+$D$200)</f>
        <v>12120</v>
      </c>
      <c r="I199" s="235">
        <f>E199*(1+D200)</f>
        <v>24240</v>
      </c>
      <c r="J199" s="235">
        <f>I199*(1+$D$200)</f>
        <v>24482.400000000001</v>
      </c>
      <c r="K199" s="235">
        <f t="shared" ref="K199:L199" si="8">J199*(1+$D$200)</f>
        <v>24727.224000000002</v>
      </c>
      <c r="L199" s="235">
        <f t="shared" si="8"/>
        <v>24974.496240000004</v>
      </c>
      <c r="M199" s="492"/>
      <c r="N199" s="15"/>
      <c r="O199" s="15"/>
      <c r="P199" s="15"/>
      <c r="Q199" s="16"/>
    </row>
    <row r="200" spans="1:17" ht="19" customHeight="1">
      <c r="A200" s="133"/>
      <c r="B200" s="391"/>
      <c r="C200" s="334" t="s">
        <v>205</v>
      </c>
      <c r="D200" s="447">
        <v>0.01</v>
      </c>
      <c r="E200" s="267"/>
      <c r="F200" s="267"/>
      <c r="G200" s="420"/>
      <c r="H200" s="330"/>
      <c r="I200" s="235"/>
      <c r="J200" s="235"/>
      <c r="K200" s="235"/>
      <c r="L200" s="235"/>
      <c r="M200" s="492"/>
      <c r="N200" s="15"/>
      <c r="O200" s="15"/>
      <c r="P200" s="15"/>
      <c r="Q200" s="16"/>
    </row>
    <row r="201" spans="1:17" ht="19" customHeight="1">
      <c r="A201" s="133"/>
      <c r="B201" s="391"/>
      <c r="C201" s="446"/>
      <c r="D201" s="446"/>
      <c r="E201" s="267"/>
      <c r="F201" s="267"/>
      <c r="G201" s="323"/>
      <c r="H201" s="330"/>
      <c r="I201" s="235"/>
      <c r="J201" s="235"/>
      <c r="K201" s="235"/>
      <c r="L201" s="235"/>
      <c r="M201" s="14"/>
      <c r="N201" s="15"/>
      <c r="O201" s="15"/>
      <c r="P201" s="15"/>
      <c r="Q201" s="16"/>
    </row>
    <row r="202" spans="1:17" ht="19" customHeight="1">
      <c r="A202" s="133"/>
      <c r="B202" s="391"/>
      <c r="C202" s="364" t="s">
        <v>149</v>
      </c>
      <c r="D202" s="322"/>
      <c r="E202" s="267"/>
      <c r="F202" s="267"/>
      <c r="G202" s="323"/>
      <c r="H202" s="330"/>
      <c r="I202" s="235"/>
      <c r="J202" s="235"/>
      <c r="K202" s="235"/>
      <c r="L202" s="235"/>
      <c r="M202" s="14"/>
      <c r="N202" s="15"/>
      <c r="O202" s="15"/>
      <c r="P202" s="15"/>
      <c r="Q202" s="16"/>
    </row>
    <row r="203" spans="1:17" ht="19" customHeight="1">
      <c r="A203" s="133"/>
      <c r="B203" s="391"/>
      <c r="C203" s="233" t="s">
        <v>141</v>
      </c>
      <c r="D203" s="445">
        <v>4000</v>
      </c>
      <c r="E203" s="272"/>
      <c r="F203" s="267"/>
      <c r="G203" s="420" t="str">
        <f>C202</f>
        <v>Utilities, Telephone &amp; Internet</v>
      </c>
      <c r="H203" s="330">
        <f>D203</f>
        <v>4000</v>
      </c>
      <c r="I203" s="235">
        <f>H203+(1+$D$204)</f>
        <v>4001.01</v>
      </c>
      <c r="J203" s="235">
        <f t="shared" ref="J203:L203" si="9">I203+(1+$D$204)</f>
        <v>4002.0200000000004</v>
      </c>
      <c r="K203" s="235">
        <f t="shared" si="9"/>
        <v>4003.0300000000007</v>
      </c>
      <c r="L203" s="235">
        <f t="shared" si="9"/>
        <v>4004.0400000000009</v>
      </c>
      <c r="M203" s="492"/>
      <c r="N203" s="15"/>
      <c r="O203" s="15"/>
      <c r="P203" s="15"/>
      <c r="Q203" s="16"/>
    </row>
    <row r="204" spans="1:17" ht="19" customHeight="1">
      <c r="A204" s="133"/>
      <c r="B204" s="391"/>
      <c r="C204" s="334" t="s">
        <v>206</v>
      </c>
      <c r="D204" s="447">
        <v>0.01</v>
      </c>
      <c r="E204" s="267"/>
      <c r="F204" s="267"/>
      <c r="G204" s="420"/>
      <c r="H204" s="330"/>
      <c r="I204" s="235"/>
      <c r="J204" s="235"/>
      <c r="K204" s="235"/>
      <c r="L204" s="235"/>
      <c r="M204" s="492"/>
      <c r="N204" s="15"/>
      <c r="O204" s="15"/>
      <c r="P204" s="15"/>
      <c r="Q204" s="16"/>
    </row>
    <row r="205" spans="1:17" ht="19" customHeight="1">
      <c r="A205" s="133"/>
      <c r="B205" s="391"/>
      <c r="C205" s="35"/>
      <c r="D205" s="267"/>
      <c r="E205" s="267"/>
      <c r="F205" s="267"/>
      <c r="G205" s="323"/>
      <c r="H205" s="330"/>
      <c r="I205" s="235"/>
      <c r="J205" s="235"/>
      <c r="K205" s="235"/>
      <c r="L205" s="235"/>
      <c r="M205" s="14"/>
      <c r="N205" s="15"/>
      <c r="O205" s="15"/>
      <c r="P205" s="15"/>
      <c r="Q205" s="16"/>
    </row>
    <row r="206" spans="1:17" ht="16" customHeight="1">
      <c r="A206" s="133"/>
      <c r="B206" s="348" t="str">
        <f>"Total "&amp;B197&amp;" Expenses"</f>
        <v>Total Facilities and infrastructure Expenses</v>
      </c>
      <c r="C206" s="344"/>
      <c r="D206" s="344"/>
      <c r="E206" s="344"/>
      <c r="F206" s="344"/>
      <c r="G206" s="345"/>
      <c r="H206" s="349">
        <f>SUM(H203,H199)</f>
        <v>16120</v>
      </c>
      <c r="I206" s="349">
        <f t="shared" ref="I206:L206" si="10">SUM(I203,I199)</f>
        <v>28241.010000000002</v>
      </c>
      <c r="J206" s="349">
        <f t="shared" si="10"/>
        <v>28484.420000000002</v>
      </c>
      <c r="K206" s="349">
        <f t="shared" si="10"/>
        <v>28730.254000000001</v>
      </c>
      <c r="L206" s="349">
        <f t="shared" si="10"/>
        <v>28978.536240000005</v>
      </c>
      <c r="M206" s="14"/>
      <c r="N206" s="15"/>
      <c r="O206" s="15"/>
      <c r="P206" s="15"/>
      <c r="Q206" s="16"/>
    </row>
    <row r="207" spans="1:17" ht="16" customHeight="1">
      <c r="A207" s="133"/>
      <c r="B207" s="95" t="s">
        <v>32</v>
      </c>
      <c r="C207" s="135"/>
      <c r="D207" s="135"/>
      <c r="E207" s="135"/>
      <c r="F207" s="135"/>
      <c r="G207" s="351"/>
      <c r="H207" s="352">
        <f>H206/Revenue!H$123</f>
        <v>1.545566279870397E-2</v>
      </c>
      <c r="I207" s="353">
        <f>I206/Revenue!I$123</f>
        <v>1.3114490486353256E-2</v>
      </c>
      <c r="J207" s="353">
        <f>J206/Revenue!J$123</f>
        <v>7.4451711563706018E-3</v>
      </c>
      <c r="K207" s="353">
        <f>K206/Revenue!K$123</f>
        <v>4.4517167970304474E-3</v>
      </c>
      <c r="L207" s="353">
        <f>L206/Revenue!L$123</f>
        <v>2.6981840395161752E-3</v>
      </c>
      <c r="M207" s="244"/>
      <c r="N207" s="15"/>
      <c r="O207" s="15"/>
      <c r="P207" s="15"/>
      <c r="Q207" s="16"/>
    </row>
    <row r="208" spans="1:17" ht="19" customHeight="1">
      <c r="A208" s="133"/>
      <c r="B208" s="391"/>
      <c r="C208" s="35"/>
      <c r="D208" s="267"/>
      <c r="E208" s="267"/>
      <c r="F208" s="267"/>
      <c r="G208" s="323"/>
      <c r="H208" s="324"/>
      <c r="I208" s="224"/>
      <c r="J208" s="224"/>
      <c r="K208" s="224"/>
      <c r="L208" s="224"/>
      <c r="M208" s="14"/>
      <c r="N208" s="15"/>
      <c r="O208" s="15"/>
      <c r="P208" s="15"/>
      <c r="Q208" s="16"/>
    </row>
    <row r="209" spans="1:17" ht="19" customHeight="1">
      <c r="A209" s="133"/>
      <c r="B209" s="124" t="s">
        <v>150</v>
      </c>
      <c r="C209" s="35"/>
      <c r="D209" s="267"/>
      <c r="E209" s="267"/>
      <c r="F209" s="267"/>
      <c r="G209" s="323"/>
      <c r="H209" s="324"/>
      <c r="I209" s="224"/>
      <c r="J209" s="224"/>
      <c r="K209" s="224"/>
      <c r="L209" s="224"/>
      <c r="M209" s="14"/>
      <c r="N209" s="15"/>
      <c r="O209" s="15"/>
      <c r="P209" s="15"/>
      <c r="Q209" s="16"/>
    </row>
    <row r="210" spans="1:17" ht="16" customHeight="1">
      <c r="A210" s="133"/>
      <c r="B210" s="14"/>
      <c r="C210" s="364" t="s">
        <v>151</v>
      </c>
      <c r="D210" s="322"/>
      <c r="E210" s="267"/>
      <c r="F210" s="267"/>
      <c r="G210" s="323"/>
      <c r="H210" s="324"/>
      <c r="I210" s="224"/>
      <c r="J210" s="224"/>
      <c r="K210" s="224"/>
      <c r="L210" s="224"/>
      <c r="M210" s="14"/>
      <c r="N210" s="15"/>
      <c r="O210" s="15"/>
      <c r="P210" s="15"/>
      <c r="Q210" s="16"/>
    </row>
    <row r="211" spans="1:17" ht="16" customHeight="1">
      <c r="A211" s="133"/>
      <c r="B211" s="14"/>
      <c r="C211" s="233" t="s">
        <v>148</v>
      </c>
      <c r="D211" s="445">
        <v>1200</v>
      </c>
      <c r="E211" s="272"/>
      <c r="F211" s="267"/>
      <c r="G211" s="448"/>
      <c r="H211" s="330">
        <f>$D211*H$121</f>
        <v>34800</v>
      </c>
      <c r="I211" s="235">
        <f>$D211*I$121</f>
        <v>43200</v>
      </c>
      <c r="J211" s="235">
        <f>$D211*J$121</f>
        <v>54000</v>
      </c>
      <c r="K211" s="235">
        <f>$D211*K$121</f>
        <v>67200</v>
      </c>
      <c r="L211" s="235">
        <f>$D211*L$121</f>
        <v>110400</v>
      </c>
      <c r="M211" s="14"/>
      <c r="N211" s="15"/>
      <c r="O211" s="15"/>
      <c r="P211" s="15"/>
      <c r="Q211" s="16"/>
    </row>
    <row r="212" spans="1:17" ht="16" customHeight="1">
      <c r="A212" s="133"/>
      <c r="B212" s="14"/>
      <c r="C212" s="35"/>
      <c r="D212" s="267"/>
      <c r="E212" s="267"/>
      <c r="F212" s="267"/>
      <c r="G212" s="323"/>
      <c r="H212" s="330"/>
      <c r="I212" s="235"/>
      <c r="J212" s="235"/>
      <c r="K212" s="235"/>
      <c r="L212" s="235"/>
      <c r="M212" s="14"/>
      <c r="N212" s="15"/>
      <c r="O212" s="15"/>
      <c r="P212" s="15"/>
      <c r="Q212" s="16"/>
    </row>
    <row r="213" spans="1:17" ht="16" customHeight="1">
      <c r="A213" s="133"/>
      <c r="B213" s="14"/>
      <c r="C213" s="364" t="s">
        <v>208</v>
      </c>
      <c r="D213" s="322"/>
      <c r="E213" s="267"/>
      <c r="F213" s="267"/>
      <c r="G213" s="323"/>
      <c r="H213" s="330"/>
      <c r="I213" s="235"/>
      <c r="J213" s="235"/>
      <c r="K213" s="235"/>
      <c r="L213" s="235"/>
      <c r="M213" s="14"/>
      <c r="N213" s="15"/>
      <c r="O213" s="15"/>
      <c r="P213" s="15"/>
      <c r="Q213" s="16"/>
    </row>
    <row r="214" spans="1:17" ht="16" customHeight="1">
      <c r="A214" s="133"/>
      <c r="B214" s="14"/>
      <c r="C214" s="233" t="s">
        <v>226</v>
      </c>
      <c r="D214" s="326">
        <v>2500</v>
      </c>
      <c r="E214" s="272"/>
      <c r="F214" s="267"/>
      <c r="G214" s="323"/>
      <c r="H214" s="330"/>
      <c r="I214" s="235"/>
      <c r="J214" s="235"/>
      <c r="K214" s="235"/>
      <c r="L214" s="235"/>
      <c r="M214" s="14"/>
      <c r="N214" s="15"/>
      <c r="O214" s="15"/>
      <c r="P214" s="15"/>
      <c r="Q214" s="16"/>
    </row>
    <row r="215" spans="1:17" ht="19" customHeight="1">
      <c r="A215" s="133"/>
      <c r="B215" s="391"/>
      <c r="C215" s="233" t="s">
        <v>207</v>
      </c>
      <c r="D215" s="503">
        <v>0.01</v>
      </c>
      <c r="E215" s="272"/>
      <c r="F215" s="267"/>
      <c r="G215" s="323"/>
      <c r="H215" s="330">
        <f>$D$215*Revenue!H123</f>
        <v>10429.834171428571</v>
      </c>
      <c r="I215" s="330">
        <f>$D$215*Revenue!I123</f>
        <v>21534.202971428571</v>
      </c>
      <c r="J215" s="330">
        <f>$D$215*Revenue!J123</f>
        <v>38258.918971428575</v>
      </c>
      <c r="K215" s="330">
        <f>$D$215*Revenue!K123</f>
        <v>64537.470171428569</v>
      </c>
      <c r="L215" s="330">
        <f>$D$215*Revenue!L123</f>
        <v>107400.14697142856</v>
      </c>
      <c r="M215" s="492"/>
      <c r="N215" s="15"/>
      <c r="O215" s="15"/>
      <c r="P215" s="15"/>
      <c r="Q215" s="16"/>
    </row>
    <row r="216" spans="1:17" ht="19" customHeight="1">
      <c r="A216" s="133"/>
      <c r="B216" s="391"/>
      <c r="C216" s="35"/>
      <c r="D216" s="267"/>
      <c r="E216" s="267"/>
      <c r="F216" s="267"/>
      <c r="G216" s="323"/>
      <c r="H216" s="330"/>
      <c r="I216" s="235"/>
      <c r="J216" s="235"/>
      <c r="K216" s="235"/>
      <c r="L216" s="235"/>
      <c r="M216" s="14"/>
      <c r="N216" s="15"/>
      <c r="O216" s="15"/>
      <c r="P216" s="15"/>
      <c r="Q216" s="16"/>
    </row>
    <row r="217" spans="1:17" ht="19" customHeight="1">
      <c r="A217" s="133"/>
      <c r="B217" s="391"/>
      <c r="C217" s="364" t="s">
        <v>152</v>
      </c>
      <c r="D217" s="322"/>
      <c r="E217" s="267"/>
      <c r="F217" s="267"/>
      <c r="G217" s="323"/>
      <c r="H217" s="330"/>
      <c r="I217" s="235"/>
      <c r="J217" s="235"/>
      <c r="K217" s="235"/>
      <c r="L217" s="235"/>
      <c r="M217" s="14"/>
      <c r="N217" s="15"/>
      <c r="O217" s="15"/>
      <c r="P217" s="15"/>
      <c r="Q217" s="16"/>
    </row>
    <row r="218" spans="1:17" ht="19" customHeight="1">
      <c r="A218" s="133"/>
      <c r="B218" s="391"/>
      <c r="C218" s="233" t="s">
        <v>153</v>
      </c>
      <c r="D218" s="326">
        <v>6000</v>
      </c>
      <c r="E218" s="272"/>
      <c r="F218" s="267"/>
      <c r="G218" s="323"/>
      <c r="H218" s="330">
        <f>$D218*SUM(H13,H20,H26)</f>
        <v>18000</v>
      </c>
      <c r="I218" s="330">
        <f>$D218*SUM(I13,I20,I26)</f>
        <v>18000</v>
      </c>
      <c r="J218" s="330">
        <f>$D218*SUM(J13,J20,J26)</f>
        <v>18000</v>
      </c>
      <c r="K218" s="330">
        <f>$D218*SUM(K13,K20,K26)</f>
        <v>18000</v>
      </c>
      <c r="L218" s="330">
        <f>$D218*SUM(L13,L20,L26)</f>
        <v>18000</v>
      </c>
      <c r="M218" s="493"/>
      <c r="N218" s="15"/>
      <c r="O218" s="15"/>
      <c r="P218" s="15"/>
      <c r="Q218" s="16"/>
    </row>
    <row r="219" spans="1:17" ht="19" customHeight="1">
      <c r="A219" s="133"/>
      <c r="B219" s="391"/>
      <c r="C219" s="233" t="s">
        <v>154</v>
      </c>
      <c r="D219" s="445">
        <v>0</v>
      </c>
      <c r="E219" s="272"/>
      <c r="F219" s="267"/>
      <c r="G219" s="323"/>
      <c r="H219" s="330">
        <f>$D219*H121</f>
        <v>0</v>
      </c>
      <c r="I219" s="330">
        <f>$D219*I121</f>
        <v>0</v>
      </c>
      <c r="J219" s="330">
        <f>$D219*J121</f>
        <v>0</v>
      </c>
      <c r="K219" s="330">
        <f>$D219*K121</f>
        <v>0</v>
      </c>
      <c r="L219" s="330">
        <f>$D219*L121</f>
        <v>0</v>
      </c>
      <c r="M219" s="493"/>
      <c r="N219" s="15"/>
      <c r="O219" s="15"/>
      <c r="P219" s="15"/>
      <c r="Q219" s="16"/>
    </row>
    <row r="220" spans="1:17" ht="19" customHeight="1">
      <c r="A220" s="133"/>
      <c r="B220" s="391"/>
      <c r="C220" s="334" t="s">
        <v>155</v>
      </c>
      <c r="D220" s="267"/>
      <c r="E220" s="267"/>
      <c r="F220" s="267"/>
      <c r="G220" s="323"/>
      <c r="H220" s="330">
        <f>SUM(H218:H219)</f>
        <v>18000</v>
      </c>
      <c r="I220" s="235">
        <f>SUM(I218:I219)</f>
        <v>18000</v>
      </c>
      <c r="J220" s="235">
        <f>SUM(J218:J219)</f>
        <v>18000</v>
      </c>
      <c r="K220" s="235">
        <f>SUM(K218:K219)</f>
        <v>18000</v>
      </c>
      <c r="L220" s="235">
        <f>SUM(L218:L219)</f>
        <v>18000</v>
      </c>
      <c r="M220" s="14"/>
      <c r="N220" s="15"/>
      <c r="O220" s="15"/>
      <c r="P220" s="15"/>
      <c r="Q220" s="16"/>
    </row>
    <row r="221" spans="1:17" ht="19" customHeight="1">
      <c r="A221" s="133"/>
      <c r="B221" s="391"/>
      <c r="C221" s="446"/>
      <c r="D221" s="267"/>
      <c r="E221" s="267"/>
      <c r="F221" s="267"/>
      <c r="G221" s="323"/>
      <c r="H221" s="330"/>
      <c r="I221" s="235"/>
      <c r="J221" s="235"/>
      <c r="K221" s="235"/>
      <c r="L221" s="235"/>
      <c r="M221" s="14"/>
      <c r="N221" s="15"/>
      <c r="O221" s="15"/>
      <c r="P221" s="15"/>
      <c r="Q221" s="16"/>
    </row>
    <row r="222" spans="1:17" ht="19" customHeight="1">
      <c r="A222" s="133"/>
      <c r="B222" s="391"/>
      <c r="C222" s="364" t="s">
        <v>156</v>
      </c>
      <c r="D222" s="322"/>
      <c r="E222" s="267"/>
      <c r="F222" s="267"/>
      <c r="G222" s="323"/>
      <c r="H222" s="330"/>
      <c r="I222" s="235"/>
      <c r="J222" s="235"/>
      <c r="K222" s="235"/>
      <c r="L222" s="235"/>
      <c r="M222" s="14"/>
      <c r="N222" s="15"/>
      <c r="O222" s="15"/>
      <c r="P222" s="15"/>
      <c r="Q222" s="16"/>
    </row>
    <row r="223" spans="1:17" ht="19" customHeight="1">
      <c r="A223" s="133"/>
      <c r="B223" s="391"/>
      <c r="C223" s="233" t="s">
        <v>132</v>
      </c>
      <c r="D223" s="229">
        <v>0.01</v>
      </c>
      <c r="E223" s="272"/>
      <c r="F223" s="267"/>
      <c r="G223" s="323"/>
      <c r="H223" s="330">
        <f>Revenue!H123*$D223</f>
        <v>10429.834171428571</v>
      </c>
      <c r="I223" s="235">
        <f>Revenue!I123*$D223</f>
        <v>21534.202971428571</v>
      </c>
      <c r="J223" s="235">
        <f>Revenue!J123*$D223</f>
        <v>38258.918971428575</v>
      </c>
      <c r="K223" s="235">
        <f>Revenue!K123*$D223</f>
        <v>64537.470171428569</v>
      </c>
      <c r="L223" s="235">
        <f>Revenue!L123*$D223</f>
        <v>107400.14697142856</v>
      </c>
      <c r="M223" s="14"/>
      <c r="N223" s="15"/>
      <c r="O223" s="15"/>
      <c r="P223" s="15"/>
      <c r="Q223" s="16"/>
    </row>
    <row r="224" spans="1:17" ht="19" customHeight="1">
      <c r="A224" s="133"/>
      <c r="B224" s="395"/>
      <c r="C224" s="255"/>
      <c r="D224" s="339"/>
      <c r="E224" s="339"/>
      <c r="F224" s="339"/>
      <c r="G224" s="340"/>
      <c r="H224" s="401"/>
      <c r="I224" s="402"/>
      <c r="J224" s="402"/>
      <c r="K224" s="402"/>
      <c r="L224" s="402"/>
      <c r="M224" s="14"/>
      <c r="N224" s="15"/>
      <c r="O224" s="15"/>
      <c r="P224" s="15"/>
      <c r="Q224" s="16"/>
    </row>
    <row r="225" spans="1:17" ht="16" customHeight="1">
      <c r="A225" s="133"/>
      <c r="B225" s="348" t="str">
        <f>"Total "&amp;B209&amp;" Expenses"</f>
        <v>Total General and administrative Expenses</v>
      </c>
      <c r="C225" s="344"/>
      <c r="D225" s="344"/>
      <c r="E225" s="344"/>
      <c r="F225" s="344"/>
      <c r="G225" s="345"/>
      <c r="H225" s="349">
        <f>SUM(H223,H220,H211,H215)</f>
        <v>73659.668342857141</v>
      </c>
      <c r="I225" s="350">
        <f>SUM(I223,I220,I211,I215)</f>
        <v>104268.40594285715</v>
      </c>
      <c r="J225" s="350">
        <f>SUM(J223,J220,J211,J215)</f>
        <v>148517.83794285715</v>
      </c>
      <c r="K225" s="350">
        <f>SUM(K223,K220,K211,K215)</f>
        <v>214274.94034285715</v>
      </c>
      <c r="L225" s="350">
        <f>SUM(L223,L220,L211,L215)</f>
        <v>343200.29394285713</v>
      </c>
      <c r="M225" s="14"/>
      <c r="N225" s="15"/>
      <c r="O225" s="15"/>
      <c r="P225" s="15"/>
      <c r="Q225" s="16"/>
    </row>
    <row r="226" spans="1:17" ht="16" customHeight="1">
      <c r="A226" s="133"/>
      <c r="B226" s="95" t="s">
        <v>32</v>
      </c>
      <c r="C226" s="135"/>
      <c r="D226" s="135"/>
      <c r="E226" s="135"/>
      <c r="F226" s="135"/>
      <c r="G226" s="136"/>
      <c r="H226" s="353">
        <f>H225/Revenue!H$123</f>
        <v>7.0624007181859155E-2</v>
      </c>
      <c r="I226" s="353">
        <f>I225/Revenue!I$123</f>
        <v>4.8419904874677615E-2</v>
      </c>
      <c r="J226" s="353">
        <f>J225/Revenue!J$123</f>
        <v>3.8819141244886973E-2</v>
      </c>
      <c r="K226" s="353">
        <f>K225/Revenue!K$123</f>
        <v>3.3201633062728726E-2</v>
      </c>
      <c r="L226" s="353">
        <f>L225/Revenue!L$123</f>
        <v>3.1955290902363286E-2</v>
      </c>
      <c r="M226" s="244"/>
      <c r="N226" s="15"/>
      <c r="O226" s="15"/>
      <c r="P226" s="15"/>
      <c r="Q226" s="16"/>
    </row>
    <row r="227" spans="1:17" ht="20" customHeight="1">
      <c r="A227" s="133"/>
      <c r="B227" s="421"/>
      <c r="C227" s="252"/>
      <c r="D227" s="322"/>
      <c r="E227" s="322"/>
      <c r="F227" s="322"/>
      <c r="G227" s="422"/>
      <c r="H227" s="449"/>
      <c r="I227" s="226"/>
      <c r="J227" s="226"/>
      <c r="K227" s="226"/>
      <c r="L227" s="226"/>
      <c r="M227" s="14"/>
      <c r="N227" s="15"/>
      <c r="O227" s="15"/>
      <c r="P227" s="15"/>
      <c r="Q227" s="16"/>
    </row>
    <row r="228" spans="1:17" ht="17" customHeight="1">
      <c r="A228" s="133"/>
      <c r="B228" s="90" t="s">
        <v>157</v>
      </c>
      <c r="C228" s="424"/>
      <c r="D228" s="424"/>
      <c r="E228" s="424"/>
      <c r="F228" s="424"/>
      <c r="G228" s="425"/>
      <c r="H228" s="450">
        <f>SUM(H225,H206,H194,H182,H171,H154)</f>
        <v>531216.21690171433</v>
      </c>
      <c r="I228" s="451">
        <f>SUM(I225,I206,I194,I182,I171,I154)</f>
        <v>843011.47546971426</v>
      </c>
      <c r="J228" s="451">
        <f>SUM(J225,J206,J194,J182,J171,J154)</f>
        <v>1333069.7240297145</v>
      </c>
      <c r="K228" s="451">
        <f>SUM(K225,K206,K194,K182,K171,K154)</f>
        <v>2131822.4112217142</v>
      </c>
      <c r="L228" s="452">
        <f>SUM(L225,L206,L194,L182,L171,L154)</f>
        <v>3635541.7633897141</v>
      </c>
      <c r="M228" s="14"/>
      <c r="N228" s="15"/>
      <c r="O228" s="15"/>
      <c r="P228" s="15"/>
      <c r="Q228" s="16"/>
    </row>
    <row r="229" spans="1:17" ht="16" customHeight="1">
      <c r="A229" s="133"/>
      <c r="B229" s="95" t="s">
        <v>32</v>
      </c>
      <c r="C229" s="135"/>
      <c r="D229" s="135"/>
      <c r="E229" s="135"/>
      <c r="F229" s="135"/>
      <c r="G229" s="351"/>
      <c r="H229" s="352">
        <f>H228/Revenue!H$123</f>
        <v>0.50932374203697794</v>
      </c>
      <c r="I229" s="353">
        <f>I228/Revenue!I$123</f>
        <v>0.39147558727305393</v>
      </c>
      <c r="J229" s="353">
        <f>J228/Revenue!J$123</f>
        <v>0.34843371424719011</v>
      </c>
      <c r="K229" s="353">
        <f>K228/Revenue!K$123</f>
        <v>0.3303232068996555</v>
      </c>
      <c r="L229" s="353">
        <f>L228/Revenue!L$123</f>
        <v>0.33850435645650184</v>
      </c>
      <c r="M229" s="244"/>
      <c r="N229" s="15"/>
      <c r="O229" s="15"/>
      <c r="P229" s="15"/>
      <c r="Q229" s="16"/>
    </row>
    <row r="230" spans="1:17" ht="20" customHeight="1">
      <c r="A230" s="133"/>
      <c r="B230" s="421"/>
      <c r="C230" s="252"/>
      <c r="D230" s="322"/>
      <c r="E230" s="322"/>
      <c r="F230" s="322"/>
      <c r="G230" s="422"/>
      <c r="H230" s="449"/>
      <c r="I230" s="226"/>
      <c r="J230" s="226"/>
      <c r="K230" s="226"/>
      <c r="L230" s="226"/>
      <c r="M230" s="14"/>
      <c r="N230" s="15"/>
      <c r="O230" s="15"/>
      <c r="P230" s="15"/>
      <c r="Q230" s="16"/>
    </row>
    <row r="231" spans="1:17" ht="17" customHeight="1">
      <c r="A231" s="133"/>
      <c r="B231" s="90" t="s">
        <v>158</v>
      </c>
      <c r="C231" s="424"/>
      <c r="D231" s="424"/>
      <c r="E231" s="424"/>
      <c r="F231" s="424"/>
      <c r="G231" s="425"/>
      <c r="H231" s="450">
        <f>H129+H228</f>
        <v>1886060.7169017144</v>
      </c>
      <c r="I231" s="451">
        <f>I129+I228</f>
        <v>2579273.0354697146</v>
      </c>
      <c r="J231" s="451">
        <f>J129+J228</f>
        <v>3595186.1010297146</v>
      </c>
      <c r="K231" s="451">
        <f>K129+K228</f>
        <v>5075346.4858937152</v>
      </c>
      <c r="L231" s="452">
        <f>L129+L228</f>
        <v>8679182.0887219552</v>
      </c>
      <c r="M231" s="14"/>
      <c r="N231" s="15"/>
      <c r="O231" s="15"/>
      <c r="P231" s="15"/>
      <c r="Q231" s="16"/>
    </row>
    <row r="232" spans="1:17" ht="16" customHeight="1">
      <c r="A232" s="133"/>
      <c r="B232" s="95" t="s">
        <v>32</v>
      </c>
      <c r="C232" s="135"/>
      <c r="D232" s="135"/>
      <c r="E232" s="135"/>
      <c r="F232" s="135"/>
      <c r="G232" s="351"/>
      <c r="H232" s="352">
        <f>H231/Revenue!H$123</f>
        <v>1.8083324105654321</v>
      </c>
      <c r="I232" s="353">
        <f>I231/Revenue!I$123</f>
        <v>1.1977564430370957</v>
      </c>
      <c r="J232" s="353">
        <f>J231/Revenue!J$123</f>
        <v>0.93969881995739823</v>
      </c>
      <c r="K232" s="353">
        <f>K231/Revenue!K$123</f>
        <v>0.78641856775796359</v>
      </c>
      <c r="L232" s="353">
        <f>L231/Revenue!L$123</f>
        <v>0.80811640705024923</v>
      </c>
      <c r="M232" s="244"/>
      <c r="N232" s="15"/>
      <c r="O232" s="15"/>
      <c r="P232" s="15"/>
      <c r="Q232" s="16"/>
    </row>
    <row r="233" spans="1:17" ht="19" customHeight="1">
      <c r="A233" s="133"/>
      <c r="B233" s="391"/>
      <c r="C233" s="35"/>
      <c r="D233" s="267"/>
      <c r="E233" s="267"/>
      <c r="F233" s="267"/>
      <c r="G233" s="323"/>
      <c r="H233" s="324"/>
      <c r="I233" s="224"/>
      <c r="J233" s="224"/>
      <c r="K233" s="224"/>
      <c r="L233" s="224"/>
      <c r="M233" s="14"/>
      <c r="N233" s="15"/>
      <c r="O233" s="15"/>
      <c r="P233" s="15"/>
      <c r="Q233" s="16"/>
    </row>
    <row r="234" spans="1:17" ht="19" customHeight="1">
      <c r="A234" s="133"/>
      <c r="B234" s="124" t="s">
        <v>159</v>
      </c>
      <c r="C234" s="15"/>
      <c r="D234" s="322"/>
      <c r="E234" s="267"/>
      <c r="F234" s="267"/>
      <c r="G234" s="323"/>
      <c r="H234" s="330">
        <f>SUM(H236:H237)</f>
        <v>4000</v>
      </c>
      <c r="I234" s="330">
        <f>SUM(I236:I237)</f>
        <v>4000</v>
      </c>
      <c r="J234" s="330">
        <f>SUM(J236:J237)</f>
        <v>4000</v>
      </c>
      <c r="K234" s="330">
        <f>SUM(K236:K237)</f>
        <v>4000</v>
      </c>
      <c r="L234" s="330">
        <f>SUM(L236:L237)</f>
        <v>4000</v>
      </c>
      <c r="M234" s="14"/>
      <c r="N234" s="15"/>
      <c r="O234" s="15"/>
      <c r="P234" s="15"/>
      <c r="Q234" s="16"/>
    </row>
    <row r="235" spans="1:17" ht="19" customHeight="1">
      <c r="A235" s="133"/>
      <c r="B235" s="391"/>
      <c r="C235" s="233" t="s">
        <v>160</v>
      </c>
      <c r="D235" s="254">
        <v>5</v>
      </c>
      <c r="E235" s="272"/>
      <c r="F235" s="267"/>
      <c r="G235" s="323"/>
      <c r="H235" s="324"/>
      <c r="I235" s="224"/>
      <c r="J235" s="224"/>
      <c r="K235" s="224"/>
      <c r="L235" s="224"/>
      <c r="M235" s="14"/>
      <c r="N235" s="15"/>
      <c r="O235" s="15"/>
      <c r="P235" s="15"/>
      <c r="Q235" s="16"/>
    </row>
    <row r="236" spans="1:17" ht="19" customHeight="1">
      <c r="A236" s="133"/>
      <c r="B236" s="391"/>
      <c r="C236" s="35"/>
      <c r="D236" s="267"/>
      <c r="E236" s="267"/>
      <c r="F236" s="267"/>
      <c r="G236" s="420" t="s">
        <v>212</v>
      </c>
      <c r="H236" s="330">
        <f>1/$D235*'BS CF'!D20</f>
        <v>2000</v>
      </c>
      <c r="I236" s="235">
        <f>H236</f>
        <v>2000</v>
      </c>
      <c r="J236" s="235">
        <f t="shared" ref="J236:L236" si="11">I236</f>
        <v>2000</v>
      </c>
      <c r="K236" s="235">
        <f t="shared" si="11"/>
        <v>2000</v>
      </c>
      <c r="L236" s="235">
        <f t="shared" si="11"/>
        <v>2000</v>
      </c>
      <c r="M236" s="492"/>
      <c r="N236" s="15"/>
      <c r="O236" s="15"/>
      <c r="P236" s="15"/>
      <c r="Q236" s="16"/>
    </row>
    <row r="237" spans="1:17" ht="19" customHeight="1">
      <c r="A237" s="133"/>
      <c r="B237" s="391"/>
      <c r="C237" s="35"/>
      <c r="D237" s="267"/>
      <c r="E237" s="267"/>
      <c r="F237" s="267"/>
      <c r="G237" s="420" t="s">
        <v>211</v>
      </c>
      <c r="H237" s="330">
        <f>1/$D235*'BS CF'!D23</f>
        <v>2000</v>
      </c>
      <c r="I237" s="235">
        <f>H237</f>
        <v>2000</v>
      </c>
      <c r="J237" s="235">
        <f t="shared" ref="J237:L237" si="12">I237</f>
        <v>2000</v>
      </c>
      <c r="K237" s="235">
        <f t="shared" si="12"/>
        <v>2000</v>
      </c>
      <c r="L237" s="235">
        <f t="shared" si="12"/>
        <v>2000</v>
      </c>
      <c r="M237" s="493"/>
      <c r="N237" s="15"/>
      <c r="O237" s="15"/>
      <c r="P237" s="15"/>
      <c r="Q237" s="16"/>
    </row>
    <row r="238" spans="1:17" ht="19" customHeight="1">
      <c r="A238" s="133"/>
      <c r="B238" s="391"/>
      <c r="C238" s="35"/>
      <c r="D238" s="267"/>
      <c r="E238" s="267"/>
      <c r="F238" s="267"/>
      <c r="G238" s="420"/>
      <c r="H238" s="330"/>
      <c r="I238" s="469"/>
      <c r="J238" s="469"/>
      <c r="K238" s="469"/>
      <c r="L238" s="469"/>
      <c r="M238" s="493"/>
      <c r="N238" s="15"/>
      <c r="O238" s="15"/>
      <c r="P238" s="15"/>
      <c r="Q238" s="16"/>
    </row>
    <row r="239" spans="1:17" ht="19" customHeight="1">
      <c r="A239" s="133"/>
      <c r="B239" s="124" t="s">
        <v>36</v>
      </c>
      <c r="C239" s="15"/>
      <c r="D239" s="322"/>
      <c r="E239" s="267"/>
      <c r="F239" s="267"/>
      <c r="G239" s="323"/>
      <c r="H239" s="330">
        <f>SUM(H240:H241)</f>
        <v>0</v>
      </c>
      <c r="I239" s="330">
        <f t="shared" ref="I239:L239" si="13">SUM(I240:I241)</f>
        <v>0</v>
      </c>
      <c r="J239" s="330">
        <f t="shared" si="13"/>
        <v>0</v>
      </c>
      <c r="K239" s="330">
        <f t="shared" si="13"/>
        <v>0</v>
      </c>
      <c r="L239" s="330">
        <f t="shared" si="13"/>
        <v>0</v>
      </c>
      <c r="M239" s="493"/>
      <c r="N239" s="15"/>
      <c r="O239" s="15"/>
      <c r="P239" s="15"/>
      <c r="Q239" s="16"/>
    </row>
    <row r="240" spans="1:17" ht="19" customHeight="1">
      <c r="A240" s="133"/>
      <c r="B240" s="391" t="str">
        <f>'BS CF'!B39</f>
        <v>Loan 1</v>
      </c>
      <c r="C240" s="233" t="s">
        <v>161</v>
      </c>
      <c r="D240" s="229">
        <v>0</v>
      </c>
      <c r="E240" s="272"/>
      <c r="F240" s="267"/>
      <c r="G240" s="420" t="str">
        <f>B240&amp;" Interest"</f>
        <v>Loan 1 Interest</v>
      </c>
      <c r="H240" s="330">
        <f>$D240*'BS CF'!H43</f>
        <v>0</v>
      </c>
      <c r="I240" s="330">
        <f>$D240*'BS CF'!I43</f>
        <v>0</v>
      </c>
      <c r="J240" s="330">
        <f>$D240*'BS CF'!J43</f>
        <v>0</v>
      </c>
      <c r="K240" s="330">
        <f>$D240*'BS CF'!K43</f>
        <v>0</v>
      </c>
      <c r="L240" s="330">
        <f>$D240*'BS CF'!L43</f>
        <v>0</v>
      </c>
      <c r="M240" s="14"/>
      <c r="N240" s="15"/>
      <c r="O240" s="15"/>
      <c r="P240" s="15"/>
      <c r="Q240" s="16"/>
    </row>
    <row r="241" spans="1:17" ht="19" customHeight="1">
      <c r="A241" s="133"/>
      <c r="B241" s="391"/>
      <c r="C241" s="446"/>
      <c r="D241" s="267"/>
      <c r="E241" s="267"/>
      <c r="F241" s="267"/>
      <c r="G241" s="420" t="s">
        <v>162</v>
      </c>
      <c r="H241" s="330">
        <f>SUM(H240:H240)</f>
        <v>0</v>
      </c>
      <c r="I241" s="330">
        <f>SUM(I240:I240)</f>
        <v>0</v>
      </c>
      <c r="J241" s="330">
        <f>SUM(J240:J240)</f>
        <v>0</v>
      </c>
      <c r="K241" s="330">
        <f>SUM(K240:K240)</f>
        <v>0</v>
      </c>
      <c r="L241" s="330">
        <f>SUM(L240:L240)</f>
        <v>0</v>
      </c>
      <c r="M241" s="14"/>
      <c r="N241" s="15"/>
      <c r="O241" s="15"/>
      <c r="P241" s="15"/>
      <c r="Q241" s="16"/>
    </row>
    <row r="242" spans="1:17" ht="19" customHeight="1">
      <c r="A242" s="133"/>
      <c r="B242" s="391"/>
      <c r="C242" s="35"/>
      <c r="D242" s="267"/>
      <c r="E242" s="267"/>
      <c r="F242" s="267"/>
      <c r="G242" s="323"/>
      <c r="H242" s="324"/>
      <c r="I242" s="224"/>
      <c r="J242" s="224"/>
      <c r="K242" s="224"/>
      <c r="L242" s="224"/>
      <c r="M242" s="14"/>
      <c r="N242" s="15"/>
      <c r="O242" s="15"/>
      <c r="P242" s="15"/>
      <c r="Q242" s="16"/>
    </row>
    <row r="243" spans="1:17" ht="17" customHeight="1">
      <c r="A243" s="133"/>
      <c r="B243" s="90" t="s">
        <v>215</v>
      </c>
      <c r="C243" s="424"/>
      <c r="D243" s="424"/>
      <c r="E243" s="424"/>
      <c r="F243" s="424"/>
      <c r="G243" s="425"/>
      <c r="H243" s="450">
        <f>Revenue!H123-Costs!H231-SUM(H236:H237,H241)</f>
        <v>-847077.29975885735</v>
      </c>
      <c r="I243" s="450">
        <f>Revenue!I123-Costs!I231-SUM(I236:I237,I241)</f>
        <v>-429852.73832685733</v>
      </c>
      <c r="J243" s="450">
        <f>Revenue!J123-Costs!J231-SUM(J236:J237,J241)</f>
        <v>226705.79611314274</v>
      </c>
      <c r="K243" s="450">
        <f>Revenue!K123-Costs!K231-SUM(K236:K237,K241)</f>
        <v>1374400.5312491413</v>
      </c>
      <c r="L243" s="450">
        <f>Revenue!L123-Costs!L231-SUM(L236:L237,L241)</f>
        <v>2056832.608420901</v>
      </c>
      <c r="M243" s="14"/>
      <c r="N243" s="15"/>
      <c r="O243" s="15"/>
      <c r="P243" s="15"/>
      <c r="Q243" s="16"/>
    </row>
    <row r="244" spans="1:17" ht="16" customHeight="1">
      <c r="A244" s="133"/>
      <c r="B244" s="95" t="s">
        <v>32</v>
      </c>
      <c r="C244" s="135"/>
      <c r="D244" s="135"/>
      <c r="E244" s="135"/>
      <c r="F244" s="135"/>
      <c r="G244" s="351"/>
      <c r="H244" s="352">
        <f>H243/Revenue!H$123</f>
        <v>-0.81216756262466394</v>
      </c>
      <c r="I244" s="353">
        <f>I243/Revenue!I$123</f>
        <v>-0.19961395315962374</v>
      </c>
      <c r="J244" s="353">
        <f>J243/Revenue!J$123</f>
        <v>5.925567219566362E-2</v>
      </c>
      <c r="K244" s="353">
        <f>K243/Revenue!K$123</f>
        <v>0.21296163726256553</v>
      </c>
      <c r="L244" s="353">
        <f>L243/Revenue!L$123</f>
        <v>0.19151115398082982</v>
      </c>
      <c r="M244" s="244"/>
      <c r="N244" s="15"/>
      <c r="O244" s="15"/>
      <c r="P244" s="15"/>
      <c r="Q244" s="16"/>
    </row>
    <row r="245" spans="1:17" ht="19" customHeight="1">
      <c r="A245" s="133"/>
      <c r="B245" s="391"/>
      <c r="C245" s="35"/>
      <c r="D245" s="267"/>
      <c r="E245" s="267"/>
      <c r="F245" s="267"/>
      <c r="G245" s="448"/>
      <c r="H245" s="330"/>
      <c r="I245" s="235"/>
      <c r="J245" s="235"/>
      <c r="K245" s="235"/>
      <c r="L245" s="235"/>
      <c r="M245" s="14"/>
      <c r="N245" s="15"/>
      <c r="O245" s="15"/>
      <c r="P245" s="15"/>
      <c r="Q245" s="16"/>
    </row>
    <row r="246" spans="1:17" ht="19" customHeight="1">
      <c r="A246" s="133"/>
      <c r="B246" s="124" t="s">
        <v>163</v>
      </c>
      <c r="C246" s="35"/>
      <c r="D246" s="322"/>
      <c r="E246" s="267"/>
      <c r="F246" s="267"/>
      <c r="G246" s="323"/>
      <c r="H246" s="330"/>
      <c r="I246" s="235"/>
      <c r="J246" s="235"/>
      <c r="K246" s="235"/>
      <c r="L246" s="235"/>
      <c r="M246" s="14"/>
      <c r="N246" s="15"/>
      <c r="O246" s="15"/>
      <c r="P246" s="15"/>
      <c r="Q246" s="16"/>
    </row>
    <row r="247" spans="1:17" ht="19" customHeight="1">
      <c r="A247" s="133"/>
      <c r="B247" s="391"/>
      <c r="C247" s="233" t="s">
        <v>164</v>
      </c>
      <c r="D247" s="229">
        <v>0.2</v>
      </c>
      <c r="E247" s="272"/>
      <c r="F247" s="15"/>
      <c r="G247" s="420" t="s">
        <v>165</v>
      </c>
      <c r="H247" s="330">
        <f>H243*$D247</f>
        <v>-169415.45995177148</v>
      </c>
      <c r="I247" s="330">
        <f t="shared" ref="I247:L247" si="14">I243*$D247</f>
        <v>-85970.547665371472</v>
      </c>
      <c r="J247" s="330">
        <f t="shared" si="14"/>
        <v>45341.15922262855</v>
      </c>
      <c r="K247" s="330">
        <f t="shared" si="14"/>
        <v>274880.1062498283</v>
      </c>
      <c r="L247" s="330">
        <f t="shared" si="14"/>
        <v>411366.52168418025</v>
      </c>
      <c r="M247" s="493" t="s">
        <v>209</v>
      </c>
      <c r="N247" s="15"/>
      <c r="O247" s="15"/>
      <c r="P247" s="15"/>
      <c r="Q247" s="16"/>
    </row>
    <row r="248" spans="1:17" ht="19" customHeight="1">
      <c r="A248" s="133"/>
      <c r="B248" s="391"/>
      <c r="C248" s="446" t="s">
        <v>235</v>
      </c>
      <c r="D248" s="326">
        <v>0</v>
      </c>
      <c r="E248" s="267"/>
      <c r="F248" s="15"/>
      <c r="G248" s="420" t="s">
        <v>61</v>
      </c>
      <c r="H248" s="235">
        <f>IF(H247&gt;0,IF(D248&gt;H247,D248-H247,0),D248-H247)</f>
        <v>169415.45995177148</v>
      </c>
      <c r="I248" s="235">
        <f>IF(I247&gt;0,IF(H248&gt;I247,H248-I247,0),H248-I247)</f>
        <v>255386.00761714295</v>
      </c>
      <c r="J248" s="235">
        <f>IF(J247&gt;0,IF(I248&gt;J247,I248-J247,0),0)</f>
        <v>210044.84839451441</v>
      </c>
      <c r="K248" s="235">
        <f>IF(K247&gt;0,IF(J248&gt;K247,J248-K247,0),0)</f>
        <v>0</v>
      </c>
      <c r="L248" s="235">
        <f>IF(L247&gt;0,IF(K248&gt;L247,K248-L247,0),0)</f>
        <v>0</v>
      </c>
      <c r="M248" s="493"/>
      <c r="N248" s="15"/>
      <c r="O248" s="15"/>
      <c r="P248" s="15"/>
      <c r="Q248" s="16"/>
    </row>
    <row r="249" spans="1:17" ht="19" customHeight="1">
      <c r="A249" s="133"/>
      <c r="B249" s="395"/>
      <c r="C249" s="255"/>
      <c r="D249" s="339"/>
      <c r="E249" s="339"/>
      <c r="F249" s="339"/>
      <c r="G249" s="340"/>
      <c r="H249" s="401"/>
      <c r="I249" s="402"/>
      <c r="J249" s="402"/>
      <c r="K249" s="402"/>
      <c r="L249" s="402"/>
      <c r="M249" s="14"/>
      <c r="N249" s="15"/>
      <c r="O249" s="15"/>
      <c r="P249" s="15"/>
      <c r="Q249" s="16"/>
    </row>
    <row r="250" spans="1:17" ht="16" customHeight="1">
      <c r="A250" s="133"/>
      <c r="B250" s="348" t="str">
        <f>"Total "&amp;B246&amp;" Expenses"</f>
        <v>Total Income Tax Expenses</v>
      </c>
      <c r="C250" s="344"/>
      <c r="D250" s="344"/>
      <c r="E250" s="344"/>
      <c r="F250" s="344"/>
      <c r="G250" s="453"/>
      <c r="H250" s="454">
        <f>IF(H248=0,H247,0)</f>
        <v>0</v>
      </c>
      <c r="I250" s="350">
        <f>IF(I248=0,I247-H248,0)</f>
        <v>0</v>
      </c>
      <c r="J250" s="350">
        <f>IF(J248=0,J247-I248,0)</f>
        <v>0</v>
      </c>
      <c r="K250" s="350">
        <f>IF(K248=0,K247-J248,0)</f>
        <v>64835.257855313888</v>
      </c>
      <c r="L250" s="350">
        <f>IF(L248=0,L247-K248,0)</f>
        <v>411366.52168418025</v>
      </c>
      <c r="M250" s="14"/>
      <c r="N250" s="15"/>
      <c r="O250" s="15"/>
      <c r="P250" s="15"/>
      <c r="Q250" s="16"/>
    </row>
    <row r="251" spans="1:17" ht="16" customHeight="1">
      <c r="A251" s="133"/>
      <c r="B251" s="138" t="s">
        <v>32</v>
      </c>
      <c r="C251" s="427"/>
      <c r="D251" s="427"/>
      <c r="E251" s="427"/>
      <c r="F251" s="455"/>
      <c r="G251" s="456"/>
      <c r="H251" s="429">
        <f>H250/Revenue!H123</f>
        <v>0</v>
      </c>
      <c r="I251" s="429">
        <f>I250/Revenue!I123</f>
        <v>0</v>
      </c>
      <c r="J251" s="429">
        <f>J250/Revenue!J123</f>
        <v>0</v>
      </c>
      <c r="K251" s="429">
        <f>K250/Revenue!K123</f>
        <v>1.0046141827855093E-2</v>
      </c>
      <c r="L251" s="429">
        <f>L250/Revenue!L123</f>
        <v>3.8302230796165973E-2</v>
      </c>
      <c r="M251" s="244"/>
      <c r="N251" s="15"/>
      <c r="O251" s="15"/>
      <c r="P251" s="15"/>
      <c r="Q251" s="16"/>
    </row>
    <row r="252" spans="1:17" ht="19" customHeight="1">
      <c r="A252" s="133"/>
      <c r="B252" s="391"/>
      <c r="C252" s="35"/>
      <c r="D252" s="267"/>
      <c r="E252" s="267"/>
      <c r="F252" s="267"/>
      <c r="G252" s="323"/>
      <c r="H252" s="324"/>
      <c r="I252" s="224"/>
      <c r="J252" s="224"/>
      <c r="K252" s="224"/>
      <c r="L252" s="224"/>
      <c r="M252" s="14"/>
      <c r="N252" s="15"/>
      <c r="O252" s="15"/>
      <c r="P252" s="15"/>
      <c r="Q252" s="16"/>
    </row>
    <row r="253" spans="1:17" ht="17" customHeight="1">
      <c r="A253" s="133"/>
      <c r="B253" s="90" t="s">
        <v>39</v>
      </c>
      <c r="C253" s="424"/>
      <c r="D253" s="424"/>
      <c r="E253" s="424"/>
      <c r="F253" s="424"/>
      <c r="G253" s="425"/>
      <c r="H253" s="450">
        <f>H243-H250</f>
        <v>-847077.29975885735</v>
      </c>
      <c r="I253" s="450">
        <f t="shared" ref="I253:L253" si="15">I243-I250</f>
        <v>-429852.73832685733</v>
      </c>
      <c r="J253" s="450">
        <f t="shared" si="15"/>
        <v>226705.79611314274</v>
      </c>
      <c r="K253" s="450">
        <f t="shared" si="15"/>
        <v>1309565.2733938275</v>
      </c>
      <c r="L253" s="450">
        <f t="shared" si="15"/>
        <v>1645466.0867367208</v>
      </c>
      <c r="M253" s="14"/>
      <c r="N253" s="15"/>
      <c r="O253" s="15"/>
      <c r="P253" s="15"/>
      <c r="Q253" s="16"/>
    </row>
    <row r="254" spans="1:17" ht="16" customHeight="1">
      <c r="A254" s="133"/>
      <c r="B254" s="95" t="s">
        <v>32</v>
      </c>
      <c r="C254" s="135"/>
      <c r="D254" s="135"/>
      <c r="E254" s="135"/>
      <c r="F254" s="135"/>
      <c r="G254" s="351"/>
      <c r="H254" s="352">
        <f>H253/Revenue!H$123</f>
        <v>-0.81216756262466394</v>
      </c>
      <c r="I254" s="353">
        <f>I253/Revenue!I$123</f>
        <v>-0.19961395315962374</v>
      </c>
      <c r="J254" s="353">
        <f>J253/Revenue!J$123</f>
        <v>5.925567219566362E-2</v>
      </c>
      <c r="K254" s="353">
        <f>K253/Revenue!K$123</f>
        <v>0.20291549543471046</v>
      </c>
      <c r="L254" s="353">
        <f>L253/Revenue!L$123</f>
        <v>0.15320892318466386</v>
      </c>
      <c r="M254" s="244"/>
      <c r="N254" s="15"/>
      <c r="O254" s="15"/>
      <c r="P254" s="15"/>
      <c r="Q254" s="16"/>
    </row>
    <row r="255" spans="1:17" ht="19" customHeight="1">
      <c r="A255" s="206"/>
      <c r="B255" s="457"/>
      <c r="C255" s="35"/>
      <c r="D255" s="267"/>
      <c r="E255" s="267"/>
      <c r="F255" s="267"/>
      <c r="G255" s="221"/>
      <c r="H255" s="458"/>
      <c r="I255" s="458"/>
      <c r="J255" s="458"/>
      <c r="K255" s="458"/>
      <c r="L255" s="458"/>
      <c r="M255" s="221"/>
      <c r="N255" s="15"/>
      <c r="O255" s="15"/>
      <c r="P255" s="15"/>
      <c r="Q255" s="16"/>
    </row>
    <row r="256" spans="1:17" ht="19" customHeight="1">
      <c r="A256" s="206"/>
      <c r="B256" s="457"/>
      <c r="C256" s="35"/>
      <c r="D256" s="267"/>
      <c r="E256" s="267"/>
      <c r="F256" s="267"/>
      <c r="G256" s="221"/>
      <c r="H256" s="458"/>
      <c r="I256" s="458"/>
      <c r="J256" s="458"/>
      <c r="K256" s="458"/>
      <c r="L256" s="458"/>
      <c r="M256" s="221"/>
      <c r="N256" s="15"/>
      <c r="O256" s="15"/>
      <c r="P256" s="15"/>
      <c r="Q256" s="16"/>
    </row>
    <row r="257" spans="1:17" ht="19" customHeight="1">
      <c r="A257" s="206"/>
      <c r="B257" s="457"/>
      <c r="C257" s="35"/>
      <c r="D257" s="267"/>
      <c r="E257" s="267"/>
      <c r="F257" s="267"/>
      <c r="G257" s="221"/>
      <c r="H257" s="458"/>
      <c r="I257" s="458"/>
      <c r="J257" s="458"/>
      <c r="K257" s="458"/>
      <c r="L257" s="458"/>
      <c r="M257" s="221"/>
      <c r="N257" s="15"/>
      <c r="O257" s="15"/>
      <c r="P257" s="15"/>
      <c r="Q257" s="16"/>
    </row>
    <row r="258" spans="1:17" ht="19" customHeight="1">
      <c r="A258" s="206"/>
      <c r="B258" s="457"/>
      <c r="C258" s="35"/>
      <c r="D258" s="267"/>
      <c r="E258" s="267"/>
      <c r="F258" s="267"/>
      <c r="G258" s="221"/>
      <c r="H258" s="458"/>
      <c r="I258" s="458"/>
      <c r="J258" s="458"/>
      <c r="K258" s="458"/>
      <c r="L258" s="458"/>
      <c r="M258" s="221"/>
      <c r="N258" s="15"/>
      <c r="O258" s="15"/>
      <c r="P258" s="15"/>
      <c r="Q258" s="16"/>
    </row>
    <row r="259" spans="1:17" ht="19" customHeight="1">
      <c r="A259" s="206"/>
      <c r="B259" s="457"/>
      <c r="C259" s="35"/>
      <c r="D259" s="267"/>
      <c r="E259" s="267"/>
      <c r="F259" s="267"/>
      <c r="G259" s="221"/>
      <c r="H259" s="458"/>
      <c r="I259" s="458"/>
      <c r="J259" s="458"/>
      <c r="K259" s="458"/>
      <c r="L259" s="458"/>
      <c r="M259" s="221"/>
      <c r="N259" s="15"/>
      <c r="O259" s="15"/>
      <c r="P259" s="15"/>
      <c r="Q259" s="16"/>
    </row>
    <row r="260" spans="1:17" ht="19" customHeight="1">
      <c r="A260" s="206"/>
      <c r="B260" s="457"/>
      <c r="C260" s="35"/>
      <c r="D260" s="267"/>
      <c r="E260" s="267"/>
      <c r="F260" s="267"/>
      <c r="G260" s="221"/>
      <c r="H260" s="458"/>
      <c r="I260" s="458"/>
      <c r="J260" s="458"/>
      <c r="K260" s="458"/>
      <c r="L260" s="458"/>
      <c r="M260" s="221"/>
      <c r="N260" s="15"/>
      <c r="O260" s="15"/>
      <c r="P260" s="15"/>
      <c r="Q260" s="16"/>
    </row>
    <row r="261" spans="1:17" ht="19" customHeight="1">
      <c r="A261" s="206"/>
      <c r="B261" s="457"/>
      <c r="C261" s="35"/>
      <c r="D261" s="267"/>
      <c r="E261" s="267"/>
      <c r="F261" s="267"/>
      <c r="G261" s="221"/>
      <c r="H261" s="458"/>
      <c r="I261" s="458"/>
      <c r="J261" s="458"/>
      <c r="K261" s="458"/>
      <c r="L261" s="458"/>
      <c r="M261" s="221"/>
      <c r="N261" s="15"/>
      <c r="O261" s="15"/>
      <c r="P261" s="15"/>
      <c r="Q261" s="16"/>
    </row>
    <row r="262" spans="1:17" ht="19" customHeight="1">
      <c r="A262" s="206"/>
      <c r="B262" s="457"/>
      <c r="C262" s="35"/>
      <c r="D262" s="267"/>
      <c r="E262" s="267"/>
      <c r="F262" s="267"/>
      <c r="G262" s="221"/>
      <c r="H262" s="458"/>
      <c r="I262" s="458"/>
      <c r="J262" s="458"/>
      <c r="K262" s="458"/>
      <c r="L262" s="458"/>
      <c r="M262" s="221"/>
      <c r="N262" s="15"/>
      <c r="O262" s="15"/>
      <c r="P262" s="15"/>
      <c r="Q262" s="16"/>
    </row>
    <row r="263" spans="1:17" ht="19" customHeight="1">
      <c r="A263" s="206"/>
      <c r="B263" s="457"/>
      <c r="C263" s="35"/>
      <c r="D263" s="267"/>
      <c r="E263" s="267"/>
      <c r="F263" s="267"/>
      <c r="G263" s="221"/>
      <c r="H263" s="458"/>
      <c r="I263" s="458"/>
      <c r="J263" s="458"/>
      <c r="K263" s="458"/>
      <c r="L263" s="458"/>
      <c r="M263" s="221"/>
      <c r="N263" s="15"/>
      <c r="O263" s="15"/>
      <c r="P263" s="15"/>
      <c r="Q263" s="16"/>
    </row>
    <row r="264" spans="1:17" ht="19" customHeight="1">
      <c r="A264" s="206"/>
      <c r="B264" s="457"/>
      <c r="C264" s="35"/>
      <c r="D264" s="267"/>
      <c r="E264" s="267"/>
      <c r="F264" s="267"/>
      <c r="G264" s="221"/>
      <c r="H264" s="458"/>
      <c r="I264" s="458"/>
      <c r="J264" s="458"/>
      <c r="K264" s="458"/>
      <c r="L264" s="458"/>
      <c r="M264" s="221"/>
      <c r="N264" s="15"/>
      <c r="O264" s="15"/>
      <c r="P264" s="15"/>
      <c r="Q264" s="16"/>
    </row>
    <row r="265" spans="1:17" ht="19" customHeight="1">
      <c r="A265" s="206"/>
      <c r="B265" s="457"/>
      <c r="C265" s="35"/>
      <c r="D265" s="267"/>
      <c r="E265" s="267"/>
      <c r="F265" s="267"/>
      <c r="G265" s="221"/>
      <c r="H265" s="458"/>
      <c r="I265" s="458"/>
      <c r="J265" s="458"/>
      <c r="K265" s="458"/>
      <c r="L265" s="458"/>
      <c r="M265" s="221"/>
      <c r="N265" s="15"/>
      <c r="O265" s="15"/>
      <c r="P265" s="15"/>
      <c r="Q265" s="16"/>
    </row>
    <row r="266" spans="1:17" ht="19" customHeight="1">
      <c r="A266" s="206"/>
      <c r="B266" s="457"/>
      <c r="C266" s="35"/>
      <c r="D266" s="267"/>
      <c r="E266" s="267"/>
      <c r="F266" s="267"/>
      <c r="G266" s="221"/>
      <c r="H266" s="458"/>
      <c r="I266" s="458"/>
      <c r="J266" s="458"/>
      <c r="K266" s="458"/>
      <c r="L266" s="458"/>
      <c r="M266" s="221"/>
      <c r="N266" s="15"/>
      <c r="O266" s="15"/>
      <c r="P266" s="15"/>
      <c r="Q266" s="16"/>
    </row>
    <row r="267" spans="1:17" ht="19" customHeight="1">
      <c r="A267" s="206"/>
      <c r="B267" s="457"/>
      <c r="C267" s="35"/>
      <c r="D267" s="267"/>
      <c r="E267" s="267"/>
      <c r="F267" s="267"/>
      <c r="G267" s="221"/>
      <c r="H267" s="458"/>
      <c r="I267" s="458"/>
      <c r="J267" s="458"/>
      <c r="K267" s="458"/>
      <c r="L267" s="458"/>
      <c r="M267" s="221"/>
      <c r="N267" s="15"/>
      <c r="O267" s="15"/>
      <c r="P267" s="15"/>
      <c r="Q267" s="16"/>
    </row>
    <row r="268" spans="1:17" ht="19" customHeight="1">
      <c r="A268" s="206"/>
      <c r="B268" s="457"/>
      <c r="C268" s="35"/>
      <c r="D268" s="267"/>
      <c r="E268" s="267"/>
      <c r="F268" s="267"/>
      <c r="G268" s="221"/>
      <c r="H268" s="458"/>
      <c r="I268" s="458"/>
      <c r="J268" s="458"/>
      <c r="K268" s="458"/>
      <c r="L268" s="458"/>
      <c r="M268" s="221"/>
      <c r="N268" s="15"/>
      <c r="O268" s="15"/>
      <c r="P268" s="15"/>
      <c r="Q268" s="16"/>
    </row>
    <row r="269" spans="1:17" ht="19" customHeight="1">
      <c r="A269" s="206"/>
      <c r="B269" s="457"/>
      <c r="C269" s="35"/>
      <c r="D269" s="267"/>
      <c r="E269" s="267"/>
      <c r="F269" s="267"/>
      <c r="G269" s="221"/>
      <c r="H269" s="458"/>
      <c r="I269" s="458"/>
      <c r="J269" s="458"/>
      <c r="K269" s="458"/>
      <c r="L269" s="458"/>
      <c r="M269" s="221"/>
      <c r="N269" s="15"/>
      <c r="O269" s="15"/>
      <c r="P269" s="15"/>
      <c r="Q269" s="16"/>
    </row>
    <row r="270" spans="1:17" ht="19" customHeight="1">
      <c r="A270" s="206"/>
      <c r="B270" s="457"/>
      <c r="C270" s="35"/>
      <c r="D270" s="267"/>
      <c r="E270" s="267"/>
      <c r="F270" s="267"/>
      <c r="G270" s="221"/>
      <c r="H270" s="458"/>
      <c r="I270" s="458"/>
      <c r="J270" s="458"/>
      <c r="K270" s="458"/>
      <c r="L270" s="458"/>
      <c r="M270" s="221"/>
      <c r="N270" s="15"/>
      <c r="O270" s="15"/>
      <c r="P270" s="15"/>
      <c r="Q270" s="16"/>
    </row>
    <row r="271" spans="1:17" ht="19" customHeight="1">
      <c r="A271" s="206"/>
      <c r="B271" s="457"/>
      <c r="C271" s="35"/>
      <c r="D271" s="267"/>
      <c r="E271" s="267"/>
      <c r="F271" s="267"/>
      <c r="G271" s="221"/>
      <c r="H271" s="458"/>
      <c r="I271" s="458"/>
      <c r="J271" s="458"/>
      <c r="K271" s="458"/>
      <c r="L271" s="458"/>
      <c r="M271" s="221"/>
      <c r="N271" s="15"/>
      <c r="O271" s="15"/>
      <c r="P271" s="15"/>
      <c r="Q271" s="16"/>
    </row>
    <row r="272" spans="1:17" ht="19" customHeight="1">
      <c r="A272" s="206"/>
      <c r="B272" s="457"/>
      <c r="C272" s="35"/>
      <c r="D272" s="267"/>
      <c r="E272" s="267"/>
      <c r="F272" s="267"/>
      <c r="G272" s="221"/>
      <c r="H272" s="458"/>
      <c r="I272" s="458"/>
      <c r="J272" s="458"/>
      <c r="K272" s="458"/>
      <c r="L272" s="458"/>
      <c r="M272" s="221"/>
      <c r="N272" s="15"/>
      <c r="O272" s="15"/>
      <c r="P272" s="15"/>
      <c r="Q272" s="16"/>
    </row>
    <row r="273" spans="1:17" ht="19" customHeight="1">
      <c r="A273" s="206"/>
      <c r="B273" s="457"/>
      <c r="C273" s="35"/>
      <c r="D273" s="267"/>
      <c r="E273" s="267"/>
      <c r="F273" s="267"/>
      <c r="G273" s="221"/>
      <c r="H273" s="458"/>
      <c r="I273" s="458"/>
      <c r="J273" s="458"/>
      <c r="K273" s="458"/>
      <c r="L273" s="458"/>
      <c r="M273" s="221"/>
      <c r="N273" s="221"/>
      <c r="O273" s="15"/>
      <c r="P273" s="15"/>
      <c r="Q273" s="16"/>
    </row>
    <row r="274" spans="1:17" ht="19" customHeight="1">
      <c r="A274" s="206"/>
      <c r="B274" s="457"/>
      <c r="C274" s="35"/>
      <c r="D274" s="267"/>
      <c r="E274" s="267"/>
      <c r="F274" s="267"/>
      <c r="G274" s="221"/>
      <c r="H274" s="458"/>
      <c r="I274" s="458"/>
      <c r="J274" s="458"/>
      <c r="K274" s="458"/>
      <c r="L274" s="458"/>
      <c r="M274" s="221"/>
      <c r="N274" s="221"/>
      <c r="O274" s="15"/>
      <c r="P274" s="15"/>
      <c r="Q274" s="16"/>
    </row>
    <row r="275" spans="1:17" ht="19" customHeight="1">
      <c r="A275" s="206"/>
      <c r="B275" s="457"/>
      <c r="C275" s="35"/>
      <c r="D275" s="267"/>
      <c r="E275" s="267"/>
      <c r="F275" s="267"/>
      <c r="G275" s="221"/>
      <c r="H275" s="458"/>
      <c r="I275" s="458"/>
      <c r="J275" s="458"/>
      <c r="K275" s="458"/>
      <c r="L275" s="458"/>
      <c r="M275" s="221"/>
      <c r="N275" s="221"/>
      <c r="O275" s="15"/>
      <c r="P275" s="15"/>
      <c r="Q275" s="16"/>
    </row>
    <row r="276" spans="1:17" ht="19" customHeight="1">
      <c r="A276" s="206"/>
      <c r="B276" s="457"/>
      <c r="C276" s="35"/>
      <c r="D276" s="267"/>
      <c r="E276" s="267"/>
      <c r="F276" s="267"/>
      <c r="G276" s="221"/>
      <c r="H276" s="458"/>
      <c r="I276" s="458"/>
      <c r="J276" s="458"/>
      <c r="K276" s="458"/>
      <c r="L276" s="458"/>
      <c r="M276" s="221"/>
      <c r="N276" s="221"/>
      <c r="O276" s="15"/>
      <c r="P276" s="15"/>
      <c r="Q276" s="16"/>
    </row>
    <row r="277" spans="1:17" ht="19" customHeight="1">
      <c r="A277" s="206"/>
      <c r="B277" s="457"/>
      <c r="C277" s="35"/>
      <c r="D277" s="267"/>
      <c r="E277" s="267"/>
      <c r="F277" s="267"/>
      <c r="G277" s="221"/>
      <c r="H277" s="458"/>
      <c r="I277" s="458"/>
      <c r="J277" s="458"/>
      <c r="K277" s="458"/>
      <c r="L277" s="458"/>
      <c r="M277" s="221"/>
      <c r="N277" s="221"/>
      <c r="O277" s="15"/>
      <c r="P277" s="15"/>
      <c r="Q277" s="16"/>
    </row>
    <row r="278" spans="1:17" ht="19" customHeight="1">
      <c r="A278" s="206"/>
      <c r="B278" s="457"/>
      <c r="C278" s="35"/>
      <c r="D278" s="267"/>
      <c r="E278" s="267"/>
      <c r="F278" s="267"/>
      <c r="G278" s="221"/>
      <c r="H278" s="458"/>
      <c r="I278" s="458"/>
      <c r="J278" s="458"/>
      <c r="K278" s="458"/>
      <c r="L278" s="458"/>
      <c r="M278" s="221"/>
      <c r="N278" s="221"/>
      <c r="O278" s="15"/>
      <c r="P278" s="15"/>
      <c r="Q278" s="16"/>
    </row>
    <row r="279" spans="1:17" ht="16" customHeight="1">
      <c r="A279" s="307"/>
      <c r="B279" s="54"/>
      <c r="C279" s="54"/>
      <c r="D279" s="54"/>
      <c r="E279" s="54"/>
      <c r="F279" s="54"/>
      <c r="G279" s="54"/>
      <c r="H279" s="459"/>
      <c r="I279" s="459"/>
      <c r="J279" s="459"/>
      <c r="K279" s="459"/>
      <c r="L279" s="459"/>
      <c r="M279" s="459"/>
      <c r="N279" s="459"/>
      <c r="O279" s="54"/>
      <c r="P279" s="54"/>
      <c r="Q279" s="55"/>
    </row>
  </sheetData>
  <mergeCells count="1">
    <mergeCell ref="D1:H1"/>
  </mergeCells>
  <pageMargins left="0.7" right="0.7" top="0.75" bottom="0.75" header="0.3" footer="0.3"/>
  <pageSetup orientation="portrait"/>
  <headerFooter>
    <oddFooter>&amp;C&amp;"Helvetica Neue,Regular"&amp;11&amp;K000000&amp;P</oddFooter>
  </headerFooter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59"/>
  <sheetViews>
    <sheetView showGridLines="0" topLeftCell="A7" workbookViewId="0">
      <selection activeCell="F27" sqref="F27"/>
    </sheetView>
  </sheetViews>
  <sheetFormatPr baseColWidth="10" defaultColWidth="11.1640625" defaultRowHeight="16" customHeight="1"/>
  <cols>
    <col min="1" max="1" width="7" style="1" customWidth="1"/>
    <col min="2" max="2" width="11" style="1" customWidth="1"/>
    <col min="3" max="3" width="18.83203125" style="1" customWidth="1"/>
    <col min="4" max="5" width="18.5" style="1" customWidth="1"/>
    <col min="6" max="6" width="7" style="1" customWidth="1"/>
    <col min="7" max="7" width="5.5" style="1" customWidth="1"/>
    <col min="8" max="12" width="18.5" style="1" customWidth="1"/>
    <col min="13" max="256" width="11.1640625" style="1" customWidth="1"/>
  </cols>
  <sheetData>
    <row r="1" spans="1:13" ht="25" customHeight="1">
      <c r="A1" s="192"/>
      <c r="B1" s="57" t="s">
        <v>19</v>
      </c>
      <c r="C1" s="193"/>
      <c r="D1" s="619"/>
      <c r="E1" s="619"/>
      <c r="F1" s="619"/>
      <c r="G1" s="619"/>
      <c r="H1" s="619"/>
      <c r="I1" s="6"/>
      <c r="J1" s="5"/>
      <c r="K1" s="6"/>
      <c r="L1" s="6"/>
    </row>
    <row r="2" spans="1:13" ht="16" customHeight="1">
      <c r="A2" s="48"/>
      <c r="B2" s="196"/>
      <c r="C2" s="196"/>
      <c r="D2" s="115"/>
      <c r="E2" s="115"/>
      <c r="F2" s="115"/>
      <c r="G2" s="197" t="s">
        <v>64</v>
      </c>
      <c r="H2" s="198">
        <v>1</v>
      </c>
      <c r="I2" s="198">
        <v>2</v>
      </c>
      <c r="J2" s="198">
        <v>3</v>
      </c>
      <c r="K2" s="198">
        <v>4</v>
      </c>
      <c r="L2" s="198">
        <v>5</v>
      </c>
      <c r="M2" s="543"/>
    </row>
    <row r="3" spans="1:13" ht="20" customHeight="1">
      <c r="A3" s="199"/>
      <c r="B3" s="200" t="s">
        <v>225</v>
      </c>
      <c r="C3" s="201"/>
      <c r="D3" s="201"/>
      <c r="E3" s="201"/>
      <c r="F3" s="201"/>
      <c r="G3" s="202"/>
      <c r="H3" s="203" t="str">
        <f>"Year "&amp;H2</f>
        <v>Year 1</v>
      </c>
      <c r="I3" s="203" t="str">
        <f>"Year "&amp;I2</f>
        <v>Year 2</v>
      </c>
      <c r="J3" s="203" t="str">
        <f>"Year "&amp;J2</f>
        <v>Year 3</v>
      </c>
      <c r="K3" s="203" t="str">
        <f>"Year "&amp;K2</f>
        <v>Year 4</v>
      </c>
      <c r="L3" s="523" t="str">
        <f>"Year "&amp;L2</f>
        <v>Year 5</v>
      </c>
      <c r="M3" s="524"/>
    </row>
    <row r="4" spans="1:13" ht="12" customHeight="1">
      <c r="A4" s="309"/>
      <c r="B4" s="310"/>
      <c r="C4" s="311"/>
      <c r="D4" s="311"/>
      <c r="E4" s="310"/>
      <c r="F4" s="311"/>
      <c r="G4" s="311"/>
      <c r="H4" s="312"/>
      <c r="I4" s="312"/>
      <c r="J4" s="312"/>
      <c r="K4" s="312"/>
      <c r="L4" s="312"/>
      <c r="M4" s="543"/>
    </row>
    <row r="5" spans="1:13" ht="12" customHeight="1">
      <c r="A5" s="309"/>
      <c r="B5" s="313"/>
      <c r="C5" s="314"/>
      <c r="D5" s="314"/>
      <c r="E5" s="313"/>
      <c r="F5" s="314"/>
      <c r="G5" s="314"/>
      <c r="H5" s="315"/>
      <c r="I5" s="315"/>
      <c r="J5" s="315"/>
      <c r="K5" s="315"/>
      <c r="L5" s="315"/>
      <c r="M5" s="543"/>
    </row>
    <row r="6" spans="1:13" ht="20" customHeight="1">
      <c r="A6" s="460"/>
      <c r="B6" s="211" t="s">
        <v>57</v>
      </c>
      <c r="C6" s="201"/>
      <c r="D6" s="201"/>
      <c r="E6" s="201"/>
      <c r="F6" s="201"/>
      <c r="G6" s="202"/>
      <c r="H6" s="212" t="str">
        <f t="shared" ref="H6:H55" si="0">H$3</f>
        <v>Year 1</v>
      </c>
      <c r="I6" s="212" t="str">
        <f>I$3</f>
        <v>Year 2</v>
      </c>
      <c r="J6" s="212" t="str">
        <f>J$3</f>
        <v>Year 3</v>
      </c>
      <c r="K6" s="212" t="str">
        <f>K$3</f>
        <v>Year 4</v>
      </c>
      <c r="L6" s="213" t="str">
        <f>L$3</f>
        <v>Year 5</v>
      </c>
    </row>
    <row r="7" spans="1:13" ht="19" customHeight="1">
      <c r="A7" s="133"/>
      <c r="B7" s="80" t="s">
        <v>166</v>
      </c>
      <c r="C7" s="318"/>
      <c r="D7" s="286"/>
      <c r="E7" s="273"/>
      <c r="F7" s="273"/>
      <c r="G7" s="527"/>
      <c r="H7" s="462"/>
      <c r="I7" s="321"/>
      <c r="J7" s="321"/>
      <c r="K7" s="321"/>
      <c r="L7" s="321"/>
    </row>
    <row r="8" spans="1:13" ht="16" customHeight="1">
      <c r="A8" s="133"/>
      <c r="B8" s="244"/>
      <c r="C8" s="463" t="s">
        <v>167</v>
      </c>
      <c r="D8" s="326">
        <v>1000</v>
      </c>
      <c r="E8" s="272"/>
      <c r="F8" s="267"/>
      <c r="G8" s="528"/>
      <c r="H8" s="464"/>
      <c r="I8" s="465"/>
      <c r="J8" s="465"/>
      <c r="K8" s="465"/>
      <c r="L8" s="465"/>
    </row>
    <row r="9" spans="1:13" ht="16" customHeight="1">
      <c r="A9" s="133"/>
      <c r="B9" s="244"/>
      <c r="C9" s="233" t="s">
        <v>168</v>
      </c>
      <c r="D9" s="272">
        <f>D8/'P&amp;L &amp; CF'!G13*360</f>
        <v>1.0285714285714285</v>
      </c>
      <c r="E9" s="272"/>
      <c r="F9" s="267"/>
      <c r="G9" s="528"/>
      <c r="H9" s="466"/>
      <c r="I9" s="224"/>
      <c r="J9" s="224"/>
      <c r="K9" s="224"/>
      <c r="L9" s="224"/>
    </row>
    <row r="10" spans="1:13" ht="16" customHeight="1">
      <c r="A10" s="133"/>
      <c r="B10" s="338"/>
      <c r="C10" s="339"/>
      <c r="D10" s="163"/>
      <c r="E10" s="339"/>
      <c r="F10" s="339"/>
      <c r="G10" s="529"/>
      <c r="H10" s="467"/>
      <c r="I10" s="342"/>
      <c r="J10" s="342"/>
      <c r="K10" s="342"/>
      <c r="L10" s="342"/>
    </row>
    <row r="11" spans="1:13" ht="16" customHeight="1">
      <c r="A11" s="133"/>
      <c r="B11" s="134" t="str">
        <f>"Total "&amp;B7</f>
        <v>Total Accounts Receivables</v>
      </c>
      <c r="C11" s="135"/>
      <c r="D11" s="135"/>
      <c r="E11" s="135"/>
      <c r="F11" s="135"/>
      <c r="G11" s="530"/>
      <c r="H11" s="468">
        <f>$D9/360*Revenue!H123</f>
        <v>2979.9526204081626</v>
      </c>
      <c r="I11" s="468">
        <f>$D9/360*Revenue!I123</f>
        <v>6152.6294204081623</v>
      </c>
      <c r="J11" s="468">
        <f>$D9/360*Revenue!J123</f>
        <v>10931.119706122448</v>
      </c>
      <c r="K11" s="468">
        <f>$D9/360*Revenue!K123</f>
        <v>18439.277191836729</v>
      </c>
      <c r="L11" s="468">
        <f>$D9/360*Revenue!L123</f>
        <v>30685.756277551012</v>
      </c>
    </row>
    <row r="12" spans="1:13" ht="16" customHeight="1">
      <c r="A12" s="133"/>
      <c r="B12" s="269"/>
      <c r="C12" s="221"/>
      <c r="D12" s="221"/>
      <c r="E12" s="221"/>
      <c r="F12" s="221"/>
      <c r="G12" s="528"/>
      <c r="H12" s="464"/>
      <c r="I12" s="465"/>
      <c r="J12" s="465"/>
      <c r="K12" s="465"/>
      <c r="L12" s="465"/>
    </row>
    <row r="13" spans="1:13" ht="19" customHeight="1">
      <c r="A13" s="133"/>
      <c r="B13" s="80" t="s">
        <v>188</v>
      </c>
      <c r="C13" s="318"/>
      <c r="D13" s="286"/>
      <c r="E13" s="273"/>
      <c r="F13" s="273"/>
      <c r="G13" s="527"/>
      <c r="H13" s="462"/>
      <c r="I13" s="321"/>
      <c r="J13" s="321"/>
      <c r="K13" s="321"/>
      <c r="L13" s="321"/>
    </row>
    <row r="14" spans="1:13" ht="16" customHeight="1">
      <c r="A14" s="133"/>
      <c r="B14" s="244"/>
      <c r="C14" s="463" t="s">
        <v>167</v>
      </c>
      <c r="D14" s="326">
        <v>1000</v>
      </c>
      <c r="E14" s="272"/>
      <c r="F14" s="267"/>
      <c r="G14" s="528"/>
      <c r="H14" s="464"/>
      <c r="I14" s="465"/>
      <c r="J14" s="465"/>
      <c r="K14" s="465"/>
      <c r="L14" s="465"/>
    </row>
    <row r="15" spans="1:13" ht="16" customHeight="1">
      <c r="A15" s="133"/>
      <c r="B15" s="244"/>
      <c r="C15" s="233" t="s">
        <v>236</v>
      </c>
      <c r="D15" s="594">
        <v>0.1</v>
      </c>
      <c r="E15" s="272"/>
      <c r="F15" s="267"/>
      <c r="G15" s="528"/>
      <c r="H15" s="466"/>
      <c r="I15" s="224"/>
      <c r="J15" s="224"/>
      <c r="K15" s="224"/>
      <c r="L15" s="224"/>
    </row>
    <row r="16" spans="1:13" ht="16" customHeight="1">
      <c r="A16" s="133"/>
      <c r="B16" s="338"/>
      <c r="C16" s="339"/>
      <c r="D16" s="163"/>
      <c r="E16" s="339"/>
      <c r="F16" s="339"/>
      <c r="G16" s="529"/>
      <c r="H16" s="467"/>
      <c r="I16" s="342"/>
      <c r="J16" s="342"/>
      <c r="K16" s="342"/>
      <c r="L16" s="342"/>
    </row>
    <row r="17" spans="1:12" ht="16" customHeight="1">
      <c r="A17" s="133"/>
      <c r="B17" s="134" t="str">
        <f>"Total "&amp;B13</f>
        <v>Total Inventory</v>
      </c>
      <c r="C17" s="135"/>
      <c r="D17" s="135"/>
      <c r="E17" s="135"/>
      <c r="F17" s="135"/>
      <c r="G17" s="530"/>
      <c r="H17" s="468">
        <f>$D15*Revenue!H123</f>
        <v>104298.34171428572</v>
      </c>
      <c r="I17" s="468">
        <f>$D15*Revenue!I123</f>
        <v>215342.02971428575</v>
      </c>
      <c r="J17" s="468">
        <f>$D15*Revenue!J123</f>
        <v>382589.18971428578</v>
      </c>
      <c r="K17" s="468">
        <f>$D15*Revenue!K123</f>
        <v>645374.70171428565</v>
      </c>
      <c r="L17" s="468">
        <f>$D15*Revenue!L123</f>
        <v>1074001.4697142856</v>
      </c>
    </row>
    <row r="18" spans="1:12" ht="16" customHeight="1">
      <c r="A18" s="133"/>
      <c r="B18" s="269"/>
      <c r="C18" s="221"/>
      <c r="D18" s="221"/>
      <c r="E18" s="221"/>
      <c r="F18" s="221"/>
      <c r="G18" s="528"/>
      <c r="H18" s="464"/>
      <c r="I18" s="465"/>
      <c r="J18" s="465"/>
      <c r="K18" s="465"/>
      <c r="L18" s="465"/>
    </row>
    <row r="19" spans="1:12" ht="19" customHeight="1">
      <c r="A19" s="133"/>
      <c r="B19" s="124" t="s">
        <v>59</v>
      </c>
      <c r="C19" s="221"/>
      <c r="D19" s="228"/>
      <c r="E19" s="221"/>
      <c r="F19" s="221"/>
      <c r="G19" s="528"/>
      <c r="H19" s="464"/>
      <c r="I19" s="465"/>
      <c r="J19" s="465"/>
      <c r="K19" s="465"/>
      <c r="L19" s="465"/>
    </row>
    <row r="20" spans="1:12" ht="16" customHeight="1">
      <c r="A20" s="133"/>
      <c r="B20" s="269"/>
      <c r="C20" s="463" t="s">
        <v>167</v>
      </c>
      <c r="D20" s="445">
        <v>10000</v>
      </c>
      <c r="E20" s="232"/>
      <c r="F20" s="221"/>
      <c r="G20" s="531" t="s">
        <v>169</v>
      </c>
      <c r="H20" s="469">
        <f>D20+H54-Costs!H236</f>
        <v>8000</v>
      </c>
      <c r="I20" s="235">
        <f>H20+I54-Costs!I236</f>
        <v>6000</v>
      </c>
      <c r="J20" s="235">
        <f>I20+J54-Costs!J236</f>
        <v>4000</v>
      </c>
      <c r="K20" s="235">
        <f>J20+K54-Costs!K236</f>
        <v>2000</v>
      </c>
      <c r="L20" s="235">
        <f>K20+L54-Costs!L236</f>
        <v>0</v>
      </c>
    </row>
    <row r="21" spans="1:12" ht="16" customHeight="1">
      <c r="A21" s="133"/>
      <c r="B21" s="269"/>
      <c r="C21" s="221"/>
      <c r="D21" s="221"/>
      <c r="E21" s="221"/>
      <c r="F21" s="221"/>
      <c r="G21" s="528"/>
      <c r="H21" s="464"/>
      <c r="I21" s="465"/>
      <c r="J21" s="465"/>
      <c r="K21" s="465"/>
      <c r="L21" s="465"/>
    </row>
    <row r="22" spans="1:12" ht="19" customHeight="1">
      <c r="A22" s="133"/>
      <c r="B22" s="124" t="s">
        <v>60</v>
      </c>
      <c r="C22" s="221"/>
      <c r="D22" s="228"/>
      <c r="E22" s="221"/>
      <c r="F22" s="221"/>
      <c r="G22" s="528"/>
      <c r="H22" s="464"/>
      <c r="I22" s="465"/>
      <c r="J22" s="465"/>
      <c r="K22" s="465"/>
      <c r="L22" s="465"/>
    </row>
    <row r="23" spans="1:12" ht="16" customHeight="1">
      <c r="A23" s="133"/>
      <c r="B23" s="269"/>
      <c r="C23" s="463" t="s">
        <v>167</v>
      </c>
      <c r="D23" s="445">
        <v>10000</v>
      </c>
      <c r="E23" s="232"/>
      <c r="F23" s="221"/>
      <c r="G23" s="531" t="s">
        <v>169</v>
      </c>
      <c r="H23" s="469">
        <f>D23+H57-Costs!H237</f>
        <v>8000</v>
      </c>
      <c r="I23" s="235">
        <f>H23+I57-Costs!I237</f>
        <v>6000</v>
      </c>
      <c r="J23" s="235">
        <f>I23+J57-Costs!J237</f>
        <v>4000</v>
      </c>
      <c r="K23" s="235">
        <f>J23+K57-Costs!K237</f>
        <v>2000</v>
      </c>
      <c r="L23" s="235">
        <f>K23+L57-Costs!L237</f>
        <v>0</v>
      </c>
    </row>
    <row r="24" spans="1:12" ht="16" customHeight="1">
      <c r="A24" s="133"/>
      <c r="B24" s="269"/>
      <c r="C24" s="221"/>
      <c r="D24" s="221"/>
      <c r="E24" s="221"/>
      <c r="F24" s="221"/>
      <c r="G24" s="528"/>
      <c r="H24" s="464"/>
      <c r="I24" s="465"/>
      <c r="J24" s="465"/>
      <c r="K24" s="465"/>
      <c r="L24" s="465"/>
    </row>
    <row r="25" spans="1:12" ht="19" customHeight="1">
      <c r="A25" s="133"/>
      <c r="B25" s="124" t="s">
        <v>193</v>
      </c>
      <c r="C25" s="221"/>
      <c r="D25" s="228"/>
      <c r="E25" s="221"/>
      <c r="F25" s="221"/>
      <c r="G25" s="528"/>
      <c r="H25" s="464"/>
      <c r="I25" s="465"/>
      <c r="J25" s="465"/>
      <c r="K25" s="465"/>
      <c r="L25" s="465"/>
    </row>
    <row r="26" spans="1:12" ht="16" customHeight="1">
      <c r="A26" s="133"/>
      <c r="B26" s="269"/>
      <c r="C26" s="463" t="s">
        <v>167</v>
      </c>
      <c r="D26" s="445">
        <v>10000</v>
      </c>
      <c r="E26" s="232"/>
      <c r="F26" s="221"/>
      <c r="G26" s="531" t="s">
        <v>169</v>
      </c>
      <c r="H26" s="469">
        <f>D26+H60-Costs!H240</f>
        <v>10000</v>
      </c>
      <c r="I26" s="235">
        <f>H26+I60-Costs!I240</f>
        <v>10000</v>
      </c>
      <c r="J26" s="235">
        <f>I26+J60-Costs!J240</f>
        <v>10000</v>
      </c>
      <c r="K26" s="235">
        <f>J26+K60-Costs!K240</f>
        <v>10000</v>
      </c>
      <c r="L26" s="235">
        <f>K26+L60-Costs!L240</f>
        <v>10000</v>
      </c>
    </row>
    <row r="27" spans="1:12" ht="16" customHeight="1">
      <c r="A27" s="133"/>
      <c r="B27" s="269"/>
      <c r="C27" s="221"/>
      <c r="D27" s="221"/>
      <c r="E27" s="221"/>
      <c r="F27" s="221"/>
      <c r="G27" s="528"/>
      <c r="H27" s="464"/>
      <c r="I27" s="465"/>
      <c r="J27" s="465"/>
      <c r="K27" s="465"/>
      <c r="L27" s="465"/>
    </row>
    <row r="28" spans="1:12" ht="19" customHeight="1">
      <c r="A28" s="133"/>
      <c r="B28" s="124" t="s">
        <v>58</v>
      </c>
      <c r="C28" s="221"/>
      <c r="D28" s="228"/>
      <c r="E28" s="221"/>
      <c r="F28" s="221"/>
      <c r="G28" s="528"/>
      <c r="H28" s="464"/>
      <c r="I28" s="465"/>
      <c r="J28" s="465"/>
      <c r="K28" s="465"/>
      <c r="L28" s="465"/>
    </row>
    <row r="29" spans="1:12" ht="16" customHeight="1">
      <c r="A29" s="133"/>
      <c r="B29" s="269"/>
      <c r="C29" s="233" t="s">
        <v>170</v>
      </c>
      <c r="D29" s="445">
        <v>200000</v>
      </c>
      <c r="E29" s="232"/>
      <c r="F29" s="221"/>
      <c r="G29" s="528"/>
      <c r="H29" s="464"/>
      <c r="I29" s="465"/>
      <c r="J29" s="465"/>
      <c r="K29" s="465"/>
      <c r="L29" s="465"/>
    </row>
    <row r="30" spans="1:12" ht="16" customHeight="1">
      <c r="A30" s="133"/>
      <c r="B30" s="284"/>
      <c r="C30" s="228"/>
      <c r="D30" s="228"/>
      <c r="E30" s="228"/>
      <c r="F30" s="228"/>
      <c r="G30" s="532"/>
      <c r="H30" s="470"/>
      <c r="I30" s="471"/>
      <c r="J30" s="471"/>
      <c r="K30" s="471"/>
      <c r="L30" s="471"/>
    </row>
    <row r="31" spans="1:12" ht="20" customHeight="1">
      <c r="A31" s="472"/>
      <c r="B31" s="211" t="s">
        <v>62</v>
      </c>
      <c r="C31" s="201"/>
      <c r="D31" s="201"/>
      <c r="E31" s="201"/>
      <c r="F31" s="201"/>
      <c r="G31" s="533"/>
      <c r="H31" s="525" t="str">
        <f t="shared" si="0"/>
        <v>Year 1</v>
      </c>
      <c r="I31" s="212" t="str">
        <f>I$3</f>
        <v>Year 2</v>
      </c>
      <c r="J31" s="212" t="str">
        <f>J$3</f>
        <v>Year 3</v>
      </c>
      <c r="K31" s="212" t="str">
        <f>K$3</f>
        <v>Year 4</v>
      </c>
      <c r="L31" s="213" t="str">
        <f>L$3</f>
        <v>Year 5</v>
      </c>
    </row>
    <row r="32" spans="1:12" ht="19" customHeight="1">
      <c r="A32" s="133"/>
      <c r="B32" s="80" t="s">
        <v>171</v>
      </c>
      <c r="C32" s="461"/>
      <c r="D32" s="287"/>
      <c r="E32" s="461"/>
      <c r="F32" s="461"/>
      <c r="G32" s="527"/>
      <c r="H32" s="473"/>
      <c r="I32" s="474"/>
      <c r="J32" s="474"/>
      <c r="K32" s="474"/>
      <c r="L32" s="474"/>
    </row>
    <row r="33" spans="1:12" ht="16" customHeight="1">
      <c r="A33" s="133"/>
      <c r="B33" s="244"/>
      <c r="C33" s="463" t="s">
        <v>167</v>
      </c>
      <c r="D33" s="326">
        <v>10000</v>
      </c>
      <c r="E33" s="272"/>
      <c r="F33" s="267"/>
      <c r="G33" s="528"/>
      <c r="H33" s="464"/>
      <c r="I33" s="465"/>
      <c r="J33" s="465"/>
      <c r="K33" s="465"/>
      <c r="L33" s="465"/>
    </row>
    <row r="34" spans="1:12" ht="16" customHeight="1">
      <c r="A34" s="133"/>
      <c r="B34" s="244"/>
      <c r="C34" s="233" t="s">
        <v>172</v>
      </c>
      <c r="D34" s="277">
        <v>60</v>
      </c>
      <c r="E34" s="272"/>
      <c r="F34" s="267"/>
      <c r="G34" s="528"/>
      <c r="H34" s="466"/>
      <c r="I34" s="224"/>
      <c r="J34" s="224"/>
      <c r="K34" s="224"/>
      <c r="L34" s="224"/>
    </row>
    <row r="35" spans="1:12" ht="16" customHeight="1">
      <c r="A35" s="133"/>
      <c r="B35" s="338"/>
      <c r="C35" s="339"/>
      <c r="D35" s="163"/>
      <c r="E35" s="339"/>
      <c r="F35" s="339"/>
      <c r="G35" s="529"/>
      <c r="H35" s="467"/>
      <c r="I35" s="342"/>
      <c r="J35" s="342"/>
      <c r="K35" s="342"/>
      <c r="L35" s="342"/>
    </row>
    <row r="36" spans="1:12" ht="16" customHeight="1">
      <c r="A36" s="133"/>
      <c r="B36" s="134" t="str">
        <f>"Total "&amp;B32</f>
        <v>Total Accounts Payables</v>
      </c>
      <c r="C36" s="135"/>
      <c r="D36" s="135"/>
      <c r="E36" s="135"/>
      <c r="F36" s="135"/>
      <c r="G36" s="530"/>
      <c r="H36" s="468">
        <f>$D34/360*Costs!H228</f>
        <v>88536.036150285712</v>
      </c>
      <c r="I36" s="468">
        <f>$D34/360*Costs!I228</f>
        <v>140501.9125782857</v>
      </c>
      <c r="J36" s="468">
        <f>$D34/360*Costs!J228</f>
        <v>222178.28733828574</v>
      </c>
      <c r="K36" s="468">
        <f>$D34/360*Costs!K228</f>
        <v>355303.735203619</v>
      </c>
      <c r="L36" s="468">
        <f>$D34/360*Costs!L228</f>
        <v>605923.62723161897</v>
      </c>
    </row>
    <row r="37" spans="1:12" ht="16" customHeight="1">
      <c r="A37" s="133"/>
      <c r="B37" s="269"/>
      <c r="C37" s="221"/>
      <c r="D37" s="221"/>
      <c r="E37" s="221"/>
      <c r="F37" s="221"/>
      <c r="G37" s="528"/>
      <c r="H37" s="464"/>
      <c r="I37" s="465"/>
      <c r="J37" s="465"/>
      <c r="K37" s="465"/>
      <c r="L37" s="465"/>
    </row>
    <row r="38" spans="1:12" ht="16" customHeight="1">
      <c r="A38" s="133"/>
      <c r="B38" s="219" t="s">
        <v>173</v>
      </c>
      <c r="C38" s="221"/>
      <c r="D38" s="221"/>
      <c r="E38" s="221"/>
      <c r="F38" s="221"/>
      <c r="G38" s="528"/>
      <c r="H38" s="464"/>
      <c r="I38" s="465"/>
      <c r="J38" s="465"/>
      <c r="K38" s="465"/>
      <c r="L38" s="465"/>
    </row>
    <row r="39" spans="1:12" ht="19" customHeight="1">
      <c r="A39" s="133"/>
      <c r="B39" s="124" t="s">
        <v>174</v>
      </c>
      <c r="C39" s="221"/>
      <c r="D39" s="228"/>
      <c r="E39" s="221"/>
      <c r="F39" s="221"/>
      <c r="G39" s="528"/>
      <c r="H39" s="464"/>
      <c r="I39" s="465"/>
      <c r="J39" s="465"/>
      <c r="K39" s="465"/>
      <c r="L39" s="465"/>
    </row>
    <row r="40" spans="1:12" ht="16" customHeight="1">
      <c r="A40" s="133"/>
      <c r="B40" s="269"/>
      <c r="C40" s="233" t="s">
        <v>170</v>
      </c>
      <c r="D40" s="445">
        <v>0</v>
      </c>
      <c r="E40" s="232"/>
      <c r="F40" s="221"/>
      <c r="G40" s="528"/>
      <c r="H40" s="475"/>
      <c r="I40" s="476"/>
      <c r="J40" s="476"/>
      <c r="K40" s="476"/>
      <c r="L40" s="476"/>
    </row>
    <row r="41" spans="1:12" ht="16" customHeight="1">
      <c r="A41" s="133"/>
      <c r="B41" s="269"/>
      <c r="C41" s="334" t="s">
        <v>175</v>
      </c>
      <c r="D41" s="221"/>
      <c r="E41" s="221"/>
      <c r="F41" s="221"/>
      <c r="G41" s="528"/>
      <c r="H41" s="526">
        <v>0</v>
      </c>
      <c r="I41" s="477">
        <v>0</v>
      </c>
      <c r="J41" s="477">
        <v>0</v>
      </c>
      <c r="K41" s="477">
        <v>0</v>
      </c>
      <c r="L41" s="477">
        <v>0</v>
      </c>
    </row>
    <row r="42" spans="1:12" ht="16" customHeight="1">
      <c r="A42" s="133"/>
      <c r="B42" s="269"/>
      <c r="C42" s="334" t="s">
        <v>176</v>
      </c>
      <c r="D42" s="221"/>
      <c r="E42" s="221"/>
      <c r="F42" s="221"/>
      <c r="G42" s="528"/>
      <c r="H42" s="469">
        <f>H41*$D40</f>
        <v>0</v>
      </c>
      <c r="I42" s="235">
        <f>I41*$D40</f>
        <v>0</v>
      </c>
      <c r="J42" s="235">
        <f>J41*$D40</f>
        <v>0</v>
      </c>
      <c r="K42" s="235">
        <f>K41*$D40</f>
        <v>0</v>
      </c>
      <c r="L42" s="235">
        <f>L41*$D40</f>
        <v>0</v>
      </c>
    </row>
    <row r="43" spans="1:12" ht="16" customHeight="1">
      <c r="A43" s="133"/>
      <c r="B43" s="269"/>
      <c r="C43" s="334" t="s">
        <v>213</v>
      </c>
      <c r="D43" s="221"/>
      <c r="E43" s="221"/>
      <c r="F43" s="221"/>
      <c r="G43" s="528"/>
      <c r="H43" s="469">
        <f>D40-$D40*H41</f>
        <v>0</v>
      </c>
      <c r="I43" s="235">
        <f>H43-$D40*I41</f>
        <v>0</v>
      </c>
      <c r="J43" s="235">
        <f>I43-$D40*J41</f>
        <v>0</v>
      </c>
      <c r="K43" s="235">
        <f>J43-$D40*K41</f>
        <v>0</v>
      </c>
      <c r="L43" s="235">
        <f>K43-$D40*L41</f>
        <v>0</v>
      </c>
    </row>
    <row r="44" spans="1:12" ht="16" customHeight="1">
      <c r="A44" s="133"/>
      <c r="B44" s="478"/>
      <c r="C44" s="479"/>
      <c r="D44" s="240"/>
      <c r="E44" s="240"/>
      <c r="F44" s="240"/>
      <c r="G44" s="529"/>
      <c r="H44" s="480"/>
      <c r="I44" s="402"/>
      <c r="J44" s="402"/>
      <c r="K44" s="402"/>
      <c r="L44" s="402"/>
    </row>
    <row r="45" spans="1:12" ht="16" customHeight="1">
      <c r="A45" s="133"/>
      <c r="B45" s="134" t="s">
        <v>177</v>
      </c>
      <c r="C45" s="135"/>
      <c r="D45" s="135"/>
      <c r="E45" s="135"/>
      <c r="F45" s="135"/>
      <c r="G45" s="530"/>
      <c r="H45" s="468">
        <f>H42</f>
        <v>0</v>
      </c>
      <c r="I45" s="468">
        <f t="shared" ref="I45:L45" si="1">I42</f>
        <v>0</v>
      </c>
      <c r="J45" s="468">
        <f t="shared" si="1"/>
        <v>0</v>
      </c>
      <c r="K45" s="468">
        <f t="shared" si="1"/>
        <v>0</v>
      </c>
      <c r="L45" s="468">
        <f t="shared" si="1"/>
        <v>0</v>
      </c>
    </row>
    <row r="46" spans="1:12" ht="19" customHeight="1">
      <c r="A46" s="537"/>
      <c r="B46" s="457"/>
      <c r="C46" s="35"/>
      <c r="D46" s="267"/>
      <c r="E46" s="267"/>
      <c r="F46" s="267"/>
      <c r="G46" s="528"/>
      <c r="H46" s="466"/>
      <c r="I46" s="224"/>
      <c r="J46" s="224"/>
      <c r="K46" s="224"/>
      <c r="L46" s="224"/>
    </row>
    <row r="47" spans="1:12" ht="16" customHeight="1">
      <c r="A47" s="537"/>
      <c r="B47" s="481" t="s">
        <v>178</v>
      </c>
      <c r="C47" s="35"/>
      <c r="D47" s="267"/>
      <c r="E47" s="267"/>
      <c r="F47" s="267"/>
      <c r="G47" s="528"/>
      <c r="H47" s="466"/>
      <c r="I47" s="224"/>
      <c r="J47" s="224"/>
      <c r="K47" s="224"/>
      <c r="L47" s="224"/>
    </row>
    <row r="48" spans="1:12" ht="19" customHeight="1">
      <c r="A48" s="537"/>
      <c r="B48" s="457"/>
      <c r="C48" s="35"/>
      <c r="D48" s="267"/>
      <c r="E48" s="267"/>
      <c r="F48" s="267"/>
      <c r="G48" s="528"/>
      <c r="H48" s="482"/>
      <c r="I48" s="226"/>
      <c r="J48" s="226"/>
      <c r="K48" s="226"/>
      <c r="L48" s="226"/>
    </row>
    <row r="49" spans="1:12" ht="19" customHeight="1">
      <c r="A49" s="537"/>
      <c r="B49" s="457"/>
      <c r="C49" s="334" t="s">
        <v>179</v>
      </c>
      <c r="D49" s="267"/>
      <c r="E49" s="267"/>
      <c r="F49" s="267"/>
      <c r="G49" s="528"/>
      <c r="H49" s="534">
        <v>0</v>
      </c>
      <c r="I49" s="326">
        <v>0</v>
      </c>
      <c r="J49" s="326">
        <v>0</v>
      </c>
      <c r="K49" s="326">
        <v>0</v>
      </c>
      <c r="L49" s="326">
        <v>0</v>
      </c>
    </row>
    <row r="50" spans="1:12" ht="19" customHeight="1">
      <c r="A50" s="537"/>
      <c r="B50" s="457"/>
      <c r="C50" s="334" t="s">
        <v>180</v>
      </c>
      <c r="D50" s="267"/>
      <c r="E50" s="267"/>
      <c r="F50" s="267"/>
      <c r="G50" s="528"/>
      <c r="H50" s="535">
        <v>0</v>
      </c>
      <c r="I50" s="445">
        <v>0</v>
      </c>
      <c r="J50" s="445">
        <v>0</v>
      </c>
      <c r="K50" s="445">
        <v>0</v>
      </c>
      <c r="L50" s="445">
        <v>0</v>
      </c>
    </row>
    <row r="51" spans="1:12" ht="19" customHeight="1">
      <c r="A51" s="537"/>
      <c r="B51" s="483"/>
      <c r="C51" s="255"/>
      <c r="D51" s="339"/>
      <c r="E51" s="339"/>
      <c r="F51" s="339"/>
      <c r="G51" s="529"/>
      <c r="H51" s="480"/>
      <c r="I51" s="402"/>
      <c r="J51" s="402"/>
      <c r="K51" s="402"/>
      <c r="L51" s="402"/>
    </row>
    <row r="52" spans="1:12" ht="16" customHeight="1">
      <c r="A52" s="537"/>
      <c r="B52" s="490" t="s">
        <v>181</v>
      </c>
      <c r="C52" s="135"/>
      <c r="D52" s="135"/>
      <c r="E52" s="135"/>
      <c r="F52" s="135"/>
      <c r="G52" s="530"/>
      <c r="H52" s="468">
        <f>H49-H50</f>
        <v>0</v>
      </c>
      <c r="I52" s="190">
        <f>I49-I50</f>
        <v>0</v>
      </c>
      <c r="J52" s="190">
        <f>J49-J50</f>
        <v>0</v>
      </c>
      <c r="K52" s="190">
        <f>K49-K50</f>
        <v>0</v>
      </c>
      <c r="L52" s="190">
        <f>L49-L50</f>
        <v>0</v>
      </c>
    </row>
    <row r="53" spans="1:12" ht="19" customHeight="1">
      <c r="A53" s="537"/>
      <c r="B53" s="457"/>
      <c r="C53" s="35"/>
      <c r="D53" s="267"/>
      <c r="E53" s="267"/>
      <c r="F53" s="267"/>
      <c r="G53" s="528"/>
      <c r="H53" s="466"/>
      <c r="I53" s="224"/>
      <c r="J53" s="224"/>
      <c r="K53" s="224"/>
      <c r="L53" s="224"/>
    </row>
    <row r="54" spans="1:12" ht="19" customHeight="1">
      <c r="A54" s="537"/>
      <c r="B54" s="484"/>
      <c r="C54" s="252"/>
      <c r="D54" s="322"/>
      <c r="E54" s="322"/>
      <c r="F54" s="322"/>
      <c r="G54" s="532"/>
      <c r="H54" s="485"/>
      <c r="I54" s="486"/>
      <c r="J54" s="486"/>
      <c r="K54" s="486"/>
      <c r="L54" s="486"/>
    </row>
    <row r="55" spans="1:12" ht="20" customHeight="1">
      <c r="A55" s="537"/>
      <c r="B55" s="536" t="s">
        <v>47</v>
      </c>
      <c r="C55" s="201"/>
      <c r="D55" s="201"/>
      <c r="E55" s="201"/>
      <c r="F55" s="201"/>
      <c r="G55" s="533"/>
      <c r="H55" s="525" t="str">
        <f t="shared" si="0"/>
        <v>Year 1</v>
      </c>
      <c r="I55" s="212" t="str">
        <f>I$3</f>
        <v>Year 2</v>
      </c>
      <c r="J55" s="212" t="str">
        <f>J$3</f>
        <v>Year 3</v>
      </c>
      <c r="K55" s="212" t="str">
        <f>K$3</f>
        <v>Year 4</v>
      </c>
      <c r="L55" s="213" t="str">
        <f>L$3</f>
        <v>Year 5</v>
      </c>
    </row>
    <row r="56" spans="1:12" ht="19" customHeight="1">
      <c r="A56" s="537"/>
      <c r="B56" s="487"/>
      <c r="C56" s="318"/>
      <c r="D56" s="273"/>
      <c r="E56" s="273"/>
      <c r="F56" s="273"/>
      <c r="G56" s="527"/>
      <c r="H56" s="488"/>
      <c r="I56" s="489"/>
      <c r="J56" s="489"/>
      <c r="K56" s="489"/>
      <c r="L56" s="489"/>
    </row>
    <row r="57" spans="1:12" ht="19" customHeight="1">
      <c r="A57" s="537"/>
      <c r="B57" s="457"/>
      <c r="C57" s="334" t="s">
        <v>182</v>
      </c>
      <c r="D57" s="267"/>
      <c r="E57" s="267"/>
      <c r="F57" s="267"/>
      <c r="G57" s="528"/>
      <c r="H57" s="535">
        <v>0</v>
      </c>
      <c r="I57" s="445">
        <v>0</v>
      </c>
      <c r="J57" s="445">
        <v>0</v>
      </c>
      <c r="K57" s="445">
        <v>0</v>
      </c>
      <c r="L57" s="445">
        <v>0</v>
      </c>
    </row>
    <row r="58" spans="1:12" ht="19" customHeight="1">
      <c r="A58" s="537"/>
      <c r="B58" s="483"/>
      <c r="C58" s="255"/>
      <c r="D58" s="339"/>
      <c r="E58" s="339"/>
      <c r="F58" s="339"/>
      <c r="G58" s="529"/>
      <c r="H58" s="480"/>
      <c r="I58" s="402"/>
      <c r="J58" s="402"/>
      <c r="K58" s="402"/>
      <c r="L58" s="402"/>
    </row>
    <row r="59" spans="1:12" ht="16" customHeight="1">
      <c r="A59" s="537"/>
      <c r="B59" s="538" t="s">
        <v>183</v>
      </c>
      <c r="C59" s="539"/>
      <c r="D59" s="539"/>
      <c r="E59" s="539"/>
      <c r="F59" s="539"/>
      <c r="G59" s="540"/>
      <c r="H59" s="541">
        <f>H57</f>
        <v>0</v>
      </c>
      <c r="I59" s="542">
        <f>I57</f>
        <v>0</v>
      </c>
      <c r="J59" s="542">
        <f>J57</f>
        <v>0</v>
      </c>
      <c r="K59" s="542">
        <f>K57</f>
        <v>0</v>
      </c>
      <c r="L59" s="542">
        <f>L57</f>
        <v>0</v>
      </c>
    </row>
  </sheetData>
  <mergeCells count="1">
    <mergeCell ref="D1:H1"/>
  </mergeCells>
  <pageMargins left="0.7" right="0.7" top="0.75" bottom="0.75" header="0.3" footer="0.3"/>
  <pageSetup orientation="portrait"/>
  <headerFooter>
    <oddFooter>&amp;C&amp;"Helvetica Neue,Regular"&amp;11&amp;K000000&amp;P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99A61-1DD9-6345-9BBC-C9AEA1125C5C}">
  <dimension ref="A1:N30"/>
  <sheetViews>
    <sheetView showGridLines="0" tabSelected="1" workbookViewId="0">
      <selection activeCell="D10" sqref="D10"/>
    </sheetView>
  </sheetViews>
  <sheetFormatPr baseColWidth="10" defaultColWidth="10.83203125" defaultRowHeight="16"/>
  <cols>
    <col min="1" max="1" width="7" style="558" customWidth="1"/>
    <col min="2" max="9" width="23.5" style="558" customWidth="1"/>
    <col min="10" max="16384" width="10.83203125" style="558"/>
  </cols>
  <sheetData>
    <row r="1" spans="1:14" ht="40" customHeight="1">
      <c r="A1" s="593"/>
      <c r="B1" s="589" t="s">
        <v>234</v>
      </c>
      <c r="C1" s="589"/>
      <c r="D1" s="592" t="s">
        <v>268</v>
      </c>
      <c r="H1" s="591" t="s">
        <v>233</v>
      </c>
      <c r="I1" s="591"/>
      <c r="J1" s="590"/>
    </row>
    <row r="2" spans="1:14" ht="15.75" customHeight="1" thickBot="1">
      <c r="B2" s="589"/>
      <c r="C2" s="589"/>
    </row>
    <row r="3" spans="1:14" ht="21" thickTop="1">
      <c r="B3" s="588" t="s">
        <v>232</v>
      </c>
      <c r="C3" s="587"/>
      <c r="D3" s="586" t="s">
        <v>231</v>
      </c>
      <c r="E3" s="586" t="s">
        <v>22</v>
      </c>
      <c r="F3" s="586" t="s">
        <v>23</v>
      </c>
      <c r="G3" s="586" t="s">
        <v>24</v>
      </c>
      <c r="H3" s="586" t="s">
        <v>25</v>
      </c>
      <c r="I3" s="586" t="s">
        <v>26</v>
      </c>
      <c r="J3" s="586" t="s">
        <v>230</v>
      </c>
    </row>
    <row r="4" spans="1:14" ht="18">
      <c r="B4" s="585"/>
      <c r="C4" s="584"/>
      <c r="D4" s="583"/>
      <c r="E4" s="582"/>
      <c r="F4" s="580"/>
      <c r="G4" s="580"/>
      <c r="H4" s="580"/>
      <c r="I4" s="579"/>
      <c r="J4" s="579"/>
      <c r="L4" s="581"/>
      <c r="N4" s="581"/>
    </row>
    <row r="5" spans="1:14">
      <c r="B5" s="570" t="s">
        <v>28</v>
      </c>
      <c r="C5" s="569"/>
      <c r="D5" s="568">
        <f>'P&amp;L &amp; CF'!G13</f>
        <v>350000</v>
      </c>
      <c r="E5" s="568">
        <f>Revenue!H123</f>
        <v>1042983.4171428571</v>
      </c>
      <c r="F5" s="568">
        <f>Revenue!I123</f>
        <v>2153420.2971428572</v>
      </c>
      <c r="G5" s="568">
        <f>Revenue!J123</f>
        <v>3825891.8971428573</v>
      </c>
      <c r="H5" s="568">
        <f>Revenue!K123</f>
        <v>6453747.0171428565</v>
      </c>
      <c r="I5" s="568">
        <f>Revenue!L123</f>
        <v>10740014.697142856</v>
      </c>
      <c r="J5" s="566"/>
    </row>
    <row r="6" spans="1:14">
      <c r="B6" s="570" t="s">
        <v>184</v>
      </c>
      <c r="C6" s="569"/>
      <c r="D6" s="568">
        <f>'P&amp;L &amp; CF'!G17</f>
        <v>50000</v>
      </c>
      <c r="E6" s="568">
        <f>'P&amp;L &amp; CF'!H19</f>
        <v>65000</v>
      </c>
      <c r="F6" s="568">
        <f>'P&amp;L &amp; CF'!I19</f>
        <v>71500</v>
      </c>
      <c r="G6" s="568">
        <f>'P&amp;L &amp; CF'!J19</f>
        <v>78650</v>
      </c>
      <c r="H6" s="568">
        <f>'P&amp;L &amp; CF'!K19</f>
        <v>86515</v>
      </c>
      <c r="I6" s="568">
        <f>'P&amp;L &amp; CF'!L19</f>
        <v>95166.500000000015</v>
      </c>
      <c r="J6" s="566"/>
    </row>
    <row r="7" spans="1:14">
      <c r="B7" s="570" t="s">
        <v>185</v>
      </c>
      <c r="C7" s="569"/>
      <c r="D7" s="568">
        <f>'P&amp;L &amp; CF'!G32</f>
        <v>422000</v>
      </c>
      <c r="E7" s="568">
        <f>Costs!H129</f>
        <v>1354844.5</v>
      </c>
      <c r="F7" s="568">
        <f>Costs!I129</f>
        <v>1736261.56</v>
      </c>
      <c r="G7" s="568">
        <f>Costs!J129</f>
        <v>2262116.3769999999</v>
      </c>
      <c r="H7" s="568">
        <f>Costs!K129</f>
        <v>2943524.0746720005</v>
      </c>
      <c r="I7" s="568">
        <f>Costs!L129</f>
        <v>5043640.3253322411</v>
      </c>
      <c r="J7" s="566"/>
    </row>
    <row r="8" spans="1:14">
      <c r="B8" s="570" t="s">
        <v>229</v>
      </c>
      <c r="C8" s="569"/>
      <c r="D8" s="568">
        <f>'P&amp;L &amp; CF'!G43</f>
        <v>144500</v>
      </c>
      <c r="E8" s="568">
        <f>Costs!H228</f>
        <v>531216.21690171433</v>
      </c>
      <c r="F8" s="568">
        <f>Costs!I228</f>
        <v>843011.47546971426</v>
      </c>
      <c r="G8" s="568">
        <f>Costs!J228</f>
        <v>1333069.7240297145</v>
      </c>
      <c r="H8" s="568">
        <f>Costs!K228</f>
        <v>2131822.4112217142</v>
      </c>
      <c r="I8" s="568">
        <f>Costs!L228</f>
        <v>3635541.7633897141</v>
      </c>
      <c r="J8" s="568"/>
    </row>
    <row r="9" spans="1:14">
      <c r="A9" s="565"/>
      <c r="B9" s="570"/>
      <c r="C9" s="569"/>
      <c r="D9" s="578"/>
      <c r="E9" s="568"/>
      <c r="F9" s="568"/>
      <c r="G9" s="568"/>
      <c r="H9" s="568"/>
      <c r="I9" s="568"/>
      <c r="J9" s="566"/>
    </row>
    <row r="10" spans="1:14">
      <c r="A10" s="565"/>
      <c r="B10" s="570" t="s">
        <v>186</v>
      </c>
      <c r="C10" s="569"/>
      <c r="D10" s="568">
        <f>-'P&amp;L &amp; CF'!G51</f>
        <v>1000</v>
      </c>
      <c r="E10" s="568">
        <f>Costs!H234</f>
        <v>4000</v>
      </c>
      <c r="F10" s="568">
        <f>Costs!I234</f>
        <v>4000</v>
      </c>
      <c r="G10" s="568">
        <f>Costs!J234</f>
        <v>4000</v>
      </c>
      <c r="H10" s="568">
        <f>Costs!K234</f>
        <v>4000</v>
      </c>
      <c r="I10" s="568">
        <f>Costs!L234</f>
        <v>4000</v>
      </c>
      <c r="J10" s="566"/>
    </row>
    <row r="11" spans="1:14">
      <c r="A11" s="565"/>
      <c r="B11" s="570"/>
      <c r="C11" s="569"/>
      <c r="D11" s="578"/>
      <c r="E11" s="568"/>
      <c r="F11" s="568"/>
      <c r="G11" s="568"/>
      <c r="H11" s="568"/>
      <c r="I11" s="568"/>
      <c r="J11" s="566"/>
    </row>
    <row r="12" spans="1:14">
      <c r="A12" s="565"/>
      <c r="B12" s="570" t="s">
        <v>36</v>
      </c>
      <c r="C12" s="569"/>
      <c r="D12" s="568">
        <f>'P&amp;L &amp; CF'!G57</f>
        <v>1000</v>
      </c>
      <c r="E12" s="568">
        <f>Costs!H239</f>
        <v>0</v>
      </c>
      <c r="F12" s="568">
        <f>Costs!I239</f>
        <v>0</v>
      </c>
      <c r="G12" s="568">
        <f>Costs!J239</f>
        <v>0</v>
      </c>
      <c r="H12" s="568">
        <f>Costs!K239</f>
        <v>0</v>
      </c>
      <c r="I12" s="568">
        <f>Costs!L239</f>
        <v>0</v>
      </c>
      <c r="J12" s="566"/>
    </row>
    <row r="13" spans="1:14">
      <c r="A13" s="577"/>
      <c r="B13" s="570" t="s">
        <v>38</v>
      </c>
      <c r="C13" s="569"/>
      <c r="D13" s="568">
        <f>'P&amp;L &amp; CF'!G65</f>
        <v>1000</v>
      </c>
      <c r="E13" s="568">
        <f>'[3]Summary Financials'!G$69</f>
        <v>0</v>
      </c>
      <c r="F13" s="568">
        <f>'[3]Summary Financials'!H$69</f>
        <v>0</v>
      </c>
      <c r="G13" s="568">
        <f>'[3]Summary Financials'!I$69</f>
        <v>0</v>
      </c>
      <c r="H13" s="568">
        <f>'[3]Summary Financials'!J$69</f>
        <v>0</v>
      </c>
      <c r="I13" s="568">
        <f>'[3]Summary Financials'!K$69</f>
        <v>0</v>
      </c>
      <c r="J13" s="566"/>
    </row>
    <row r="14" spans="1:14">
      <c r="A14" s="565"/>
      <c r="B14" s="575"/>
      <c r="C14" s="569"/>
      <c r="D14" s="574"/>
      <c r="E14" s="573"/>
      <c r="F14" s="573"/>
      <c r="G14" s="573"/>
      <c r="H14" s="573"/>
      <c r="I14" s="573"/>
      <c r="J14" s="571"/>
    </row>
    <row r="15" spans="1:14">
      <c r="A15" s="565"/>
      <c r="B15" s="570" t="s">
        <v>187</v>
      </c>
      <c r="C15" s="569"/>
      <c r="D15" s="568">
        <f>'BS CF'!D8</f>
        <v>1000</v>
      </c>
      <c r="E15" s="568">
        <f>'BS CF'!H11</f>
        <v>2979.9526204081626</v>
      </c>
      <c r="F15" s="568">
        <f>'BS CF'!I11</f>
        <v>6152.6294204081623</v>
      </c>
      <c r="G15" s="568">
        <f>'BS CF'!J11</f>
        <v>10931.119706122448</v>
      </c>
      <c r="H15" s="568">
        <f>'BS CF'!K11</f>
        <v>18439.277191836729</v>
      </c>
      <c r="I15" s="568">
        <f>'BS CF'!L11</f>
        <v>30685.756277551012</v>
      </c>
      <c r="J15" s="566"/>
    </row>
    <row r="16" spans="1:14">
      <c r="A16" s="577"/>
      <c r="B16" s="570" t="s">
        <v>188</v>
      </c>
      <c r="C16" s="569"/>
      <c r="D16" s="568">
        <f>'BS CF'!D14</f>
        <v>1000</v>
      </c>
      <c r="E16" s="568">
        <f>'BS CF'!H17</f>
        <v>104298.34171428572</v>
      </c>
      <c r="F16" s="568">
        <f>'BS CF'!I17</f>
        <v>215342.02971428575</v>
      </c>
      <c r="G16" s="568">
        <f>'BS CF'!J17</f>
        <v>382589.18971428578</v>
      </c>
      <c r="H16" s="568">
        <f>'BS CF'!K17</f>
        <v>645374.70171428565</v>
      </c>
      <c r="I16" s="568">
        <f>'BS CF'!L17</f>
        <v>1074001.4697142856</v>
      </c>
      <c r="J16" s="566"/>
    </row>
    <row r="17" spans="1:10">
      <c r="A17" s="565"/>
      <c r="B17" s="570" t="s">
        <v>189</v>
      </c>
      <c r="C17" s="569"/>
      <c r="D17" s="568">
        <f>'BS CF'!D33</f>
        <v>10000</v>
      </c>
      <c r="E17" s="568">
        <f>'BS CF'!H36</f>
        <v>88536.036150285712</v>
      </c>
      <c r="F17" s="568">
        <f>'BS CF'!I36</f>
        <v>140501.9125782857</v>
      </c>
      <c r="G17" s="568">
        <f>'BS CF'!J36</f>
        <v>222178.28733828574</v>
      </c>
      <c r="H17" s="568">
        <f>'BS CF'!K36</f>
        <v>355303.735203619</v>
      </c>
      <c r="I17" s="568">
        <f>'BS CF'!L36</f>
        <v>605923.62723161897</v>
      </c>
      <c r="J17" s="566"/>
    </row>
    <row r="18" spans="1:10">
      <c r="A18" s="565"/>
      <c r="B18" s="570"/>
      <c r="C18" s="569"/>
      <c r="D18" s="578"/>
      <c r="E18" s="568"/>
      <c r="F18" s="568"/>
      <c r="G18" s="568"/>
      <c r="H18" s="568"/>
      <c r="I18" s="568"/>
      <c r="J18" s="566"/>
    </row>
    <row r="19" spans="1:10">
      <c r="A19" s="565"/>
      <c r="B19" s="570" t="s">
        <v>47</v>
      </c>
      <c r="C19" s="569"/>
      <c r="D19" s="562">
        <v>0</v>
      </c>
      <c r="E19" s="568">
        <f>'BS CF'!H59</f>
        <v>0</v>
      </c>
      <c r="F19" s="568">
        <f>'BS CF'!I59</f>
        <v>0</v>
      </c>
      <c r="G19" s="568">
        <f>'BS CF'!J59</f>
        <v>0</v>
      </c>
      <c r="H19" s="568">
        <f>'BS CF'!K59</f>
        <v>0</v>
      </c>
      <c r="I19" s="568">
        <f>'BS CF'!L59</f>
        <v>0</v>
      </c>
      <c r="J19" s="568"/>
    </row>
    <row r="20" spans="1:10">
      <c r="A20" s="577"/>
      <c r="B20" s="570" t="s">
        <v>190</v>
      </c>
      <c r="C20" s="569"/>
      <c r="D20" s="562">
        <v>0</v>
      </c>
      <c r="E20" s="568">
        <f>'BS CF'!H45</f>
        <v>0</v>
      </c>
      <c r="F20" s="568">
        <f>'BS CF'!I60</f>
        <v>0</v>
      </c>
      <c r="G20" s="568">
        <f>'BS CF'!J45</f>
        <v>0</v>
      </c>
      <c r="H20" s="568">
        <f>'BS CF'!K45</f>
        <v>0</v>
      </c>
      <c r="I20" s="568">
        <f>'BS CF'!L45</f>
        <v>0</v>
      </c>
      <c r="J20" s="566"/>
    </row>
    <row r="21" spans="1:10">
      <c r="A21" s="577"/>
      <c r="B21" s="570" t="s">
        <v>191</v>
      </c>
      <c r="C21" s="569"/>
      <c r="D21" s="562">
        <v>0</v>
      </c>
      <c r="E21" s="568">
        <f>'BS CF'!H52</f>
        <v>0</v>
      </c>
      <c r="F21" s="568">
        <f>'BS CF'!I52</f>
        <v>0</v>
      </c>
      <c r="G21" s="568">
        <f>'BS CF'!J52</f>
        <v>0</v>
      </c>
      <c r="H21" s="568">
        <f>'BS CF'!K52</f>
        <v>0</v>
      </c>
      <c r="I21" s="568">
        <f>'BS CF'!L52</f>
        <v>0</v>
      </c>
      <c r="J21" s="566"/>
    </row>
    <row r="22" spans="1:10">
      <c r="A22" s="576"/>
      <c r="B22" s="575"/>
      <c r="C22" s="569"/>
      <c r="D22" s="574"/>
      <c r="E22" s="573"/>
      <c r="F22" s="572"/>
      <c r="G22" s="572"/>
      <c r="H22" s="572"/>
      <c r="I22" s="571"/>
      <c r="J22" s="571"/>
    </row>
    <row r="23" spans="1:10">
      <c r="A23" s="565"/>
      <c r="B23" s="570" t="s">
        <v>192</v>
      </c>
      <c r="C23" s="569"/>
      <c r="D23" s="568">
        <f>'BS CF'!D29</f>
        <v>200000</v>
      </c>
      <c r="E23" s="568"/>
      <c r="F23" s="567"/>
      <c r="G23" s="567"/>
      <c r="H23" s="567"/>
      <c r="I23" s="566"/>
      <c r="J23" s="566"/>
    </row>
    <row r="24" spans="1:10">
      <c r="A24" s="565"/>
      <c r="B24" s="570" t="s">
        <v>60</v>
      </c>
      <c r="C24" s="569"/>
      <c r="D24" s="568">
        <f>'BS CF'!D23</f>
        <v>10000</v>
      </c>
      <c r="E24" s="568"/>
      <c r="F24" s="567"/>
      <c r="G24" s="567"/>
      <c r="H24" s="567"/>
      <c r="I24" s="566"/>
      <c r="J24" s="566"/>
    </row>
    <row r="25" spans="1:10">
      <c r="A25" s="565"/>
      <c r="B25" s="570" t="s">
        <v>59</v>
      </c>
      <c r="C25" s="569"/>
      <c r="D25" s="568">
        <f>'BS CF'!D20</f>
        <v>10000</v>
      </c>
      <c r="E25" s="568"/>
      <c r="F25" s="567"/>
      <c r="G25" s="567"/>
      <c r="H25" s="567"/>
      <c r="I25" s="566"/>
      <c r="J25" s="566"/>
    </row>
    <row r="26" spans="1:10">
      <c r="A26" s="565"/>
      <c r="B26" s="570" t="s">
        <v>193</v>
      </c>
      <c r="C26" s="569"/>
      <c r="D26" s="568">
        <f>'BS CF'!D26</f>
        <v>10000</v>
      </c>
      <c r="E26" s="568"/>
      <c r="F26" s="567"/>
      <c r="G26" s="567"/>
      <c r="H26" s="567"/>
      <c r="I26" s="566"/>
      <c r="J26" s="566"/>
    </row>
    <row r="27" spans="1:10">
      <c r="A27" s="565"/>
      <c r="B27" s="570" t="s">
        <v>194</v>
      </c>
      <c r="C27" s="569"/>
      <c r="D27" s="568">
        <f>Costs!D248</f>
        <v>0</v>
      </c>
      <c r="E27" s="568"/>
      <c r="F27" s="567"/>
      <c r="G27" s="567"/>
      <c r="H27" s="567"/>
      <c r="I27" s="566"/>
      <c r="J27" s="566"/>
    </row>
    <row r="28" spans="1:10">
      <c r="A28" s="565"/>
      <c r="B28" s="570" t="s">
        <v>195</v>
      </c>
      <c r="C28" s="569"/>
      <c r="D28" s="568">
        <f>'BS CF'!D33</f>
        <v>10000</v>
      </c>
      <c r="E28" s="568"/>
      <c r="F28" s="567"/>
      <c r="G28" s="567"/>
      <c r="H28" s="567"/>
      <c r="I28" s="566"/>
      <c r="J28" s="566"/>
    </row>
    <row r="29" spans="1:10">
      <c r="A29" s="565"/>
      <c r="B29" s="570" t="s">
        <v>196</v>
      </c>
      <c r="C29" s="569"/>
      <c r="D29" s="568">
        <f>'BS CF'!D40</f>
        <v>0</v>
      </c>
      <c r="E29" s="568"/>
      <c r="F29" s="567"/>
      <c r="G29" s="567"/>
      <c r="H29" s="567"/>
      <c r="I29" s="566"/>
      <c r="J29" s="566"/>
    </row>
    <row r="30" spans="1:10">
      <c r="A30" s="565"/>
      <c r="B30" s="564" t="s">
        <v>63</v>
      </c>
      <c r="C30" s="563"/>
      <c r="D30" s="562">
        <v>0</v>
      </c>
      <c r="E30" s="561"/>
      <c r="F30" s="560"/>
      <c r="G30" s="560"/>
      <c r="H30" s="560"/>
      <c r="I30" s="559"/>
      <c r="J30" s="559"/>
    </row>
  </sheetData>
  <hyperlinks>
    <hyperlink ref="B1" location="Introduction!A1" display="Return to Introduction Page" xr:uid="{C574D6DC-10BF-4843-AAFE-1D08A3A9C06E}"/>
    <hyperlink ref="H1" r:id="rId1" xr:uid="{F2907115-366F-AD41-8265-03563AD04A61}"/>
  </hyperlink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49</vt:i4>
      </vt:variant>
    </vt:vector>
  </HeadingPairs>
  <TitlesOfParts>
    <vt:vector size="55" baseType="lpstr">
      <vt:lpstr>Introduction</vt:lpstr>
      <vt:lpstr>P&amp;L &amp; CF</vt:lpstr>
      <vt:lpstr>Revenue</vt:lpstr>
      <vt:lpstr>Costs</vt:lpstr>
      <vt:lpstr>BS CF</vt:lpstr>
      <vt:lpstr>Equidam Financials Input</vt:lpstr>
      <vt:lpstr>accrued_employee_and_crew_salary</vt:lpstr>
      <vt:lpstr>accrued_IT_expenses</vt:lpstr>
      <vt:lpstr>accrued_manag_salary</vt:lpstr>
      <vt:lpstr>accrued_postholder_salary</vt:lpstr>
      <vt:lpstr>aircraft_lease</vt:lpstr>
      <vt:lpstr>aircraft_lease_deposit</vt:lpstr>
      <vt:lpstr>aircraft_subscriptions</vt:lpstr>
      <vt:lpstr>cash_and_cash_equiv</vt:lpstr>
      <vt:lpstr>change_in_NWC</vt:lpstr>
      <vt:lpstr>contingency</vt:lpstr>
      <vt:lpstr>Cost_of_Goods_Sold</vt:lpstr>
      <vt:lpstr>crew_salary</vt:lpstr>
      <vt:lpstr>current_assets</vt:lpstr>
      <vt:lpstr>current_liabilities</vt:lpstr>
      <vt:lpstr>debt</vt:lpstr>
      <vt:lpstr>EBIT</vt:lpstr>
      <vt:lpstr>EBITDA</vt:lpstr>
      <vt:lpstr>employee_salary</vt:lpstr>
      <vt:lpstr>furn_soft_equip</vt:lpstr>
      <vt:lpstr>furn_soft_equip_depreciation</vt:lpstr>
      <vt:lpstr>initial_training</vt:lpstr>
      <vt:lpstr>insurance</vt:lpstr>
      <vt:lpstr>interest_on_debt</vt:lpstr>
      <vt:lpstr>interest_on_debts</vt:lpstr>
      <vt:lpstr>IT</vt:lpstr>
      <vt:lpstr>maintenance</vt:lpstr>
      <vt:lpstr>management_salary</vt:lpstr>
      <vt:lpstr>misc</vt:lpstr>
      <vt:lpstr>net_income</vt:lpstr>
      <vt:lpstr>net_working_capital</vt:lpstr>
      <vt:lpstr>net_working_capital_t_minus_1</vt:lpstr>
      <vt:lpstr>offices</vt:lpstr>
      <vt:lpstr>other_operating_cost</vt:lpstr>
      <vt:lpstr>Postholder_salary</vt:lpstr>
      <vt:lpstr>recurrent_training</vt:lpstr>
      <vt:lpstr>required_capital</vt:lpstr>
      <vt:lpstr>revenues</vt:lpstr>
      <vt:lpstr>Salary</vt:lpstr>
      <vt:lpstr>start_up_cost_amortization</vt:lpstr>
      <vt:lpstr>subscriptions</vt:lpstr>
      <vt:lpstr>tax</vt:lpstr>
      <vt:lpstr>total_dep_and_amort</vt:lpstr>
      <vt:lpstr>total_operating_expenses</vt:lpstr>
      <vt:lpstr>total_revised_startup_costs</vt:lpstr>
      <vt:lpstr>total_shareholders_equity</vt:lpstr>
      <vt:lpstr>total_startup_asset_funds</vt:lpstr>
      <vt:lpstr>travel</vt:lpstr>
      <vt:lpstr>uniform_writeoff_expense</vt:lpstr>
      <vt:lpstr>uniforms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 Faloppa</cp:lastModifiedBy>
  <dcterms:created xsi:type="dcterms:W3CDTF">2020-08-27T16:12:08Z</dcterms:created>
  <dcterms:modified xsi:type="dcterms:W3CDTF">2024-08-14T11:02:41Z</dcterms:modified>
</cp:coreProperties>
</file>