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danielfaloppa/Downloads/"/>
    </mc:Choice>
  </mc:AlternateContent>
  <xr:revisionPtr revIDLastSave="0" documentId="13_ncr:1_{59FBB8D0-0127-F247-88AC-332F2E603B61}" xr6:coauthVersionLast="47" xr6:coauthVersionMax="47" xr10:uidLastSave="{00000000-0000-0000-0000-000000000000}"/>
  <bookViews>
    <workbookView xWindow="18200" yWindow="9640" windowWidth="28800" windowHeight="18940" activeTab="5" xr2:uid="{00000000-000D-0000-FFFF-FFFF00000000}"/>
  </bookViews>
  <sheets>
    <sheet name="Introduction" sheetId="1" r:id="rId1"/>
    <sheet name="P&amp;L &amp; CF" sheetId="2" r:id="rId2"/>
    <sheet name="Revenue" sheetId="3" r:id="rId3"/>
    <sheet name="Costs" sheetId="4" r:id="rId4"/>
    <sheet name="BS CF" sheetId="6" r:id="rId5"/>
    <sheet name="Equidam Financials Input" sheetId="8" r:id="rId6"/>
  </sheets>
  <externalReferences>
    <externalReference r:id="rId7"/>
    <externalReference r:id="rId8"/>
    <externalReference r:id="rId9"/>
  </externalReferences>
  <definedNames>
    <definedName name="accrued_employee_and_crew_salary">'Equidam Financials Input'!$N$86:$S$86</definedName>
    <definedName name="accrued_IT_expenses">'Equidam Financials Input'!$N$87:$S$87</definedName>
    <definedName name="accrued_manag_salary">'Equidam Financials Input'!$N$84:$S$84</definedName>
    <definedName name="accrued_postholder_salary">'Equidam Financials Input'!$N$85:$S$85</definedName>
    <definedName name="aircraft_lease">'Equidam Financials Input'!$N$37:$S$37</definedName>
    <definedName name="aircraft_lease_deposit">'Equidam Financials Input'!$N$49:$S$49</definedName>
    <definedName name="aircraft_subscriptions">'Equidam Financials Input'!$N$40:$S$40</definedName>
    <definedName name="av_receivable_days">'[1]BWI Assumption Workings'!$D$80</definedName>
    <definedName name="cash_and_cash_equiv">'Equidam Financials Input'!$E$32:$J$32</definedName>
    <definedName name="change_in_NWC">'Equidam Financials Input'!$N$93:$S$93</definedName>
    <definedName name="contingency">'Equidam Financials Input'!$N$58:$S$58</definedName>
    <definedName name="Cost_of_Goods_Sold">'Equidam Financials Input'!$N$41:$S$41</definedName>
    <definedName name="crew_salary">'Equidam Financials Input'!$N$46:$S$46</definedName>
    <definedName name="current_assets">'Equidam Financials Input'!$N$82:$S$82</definedName>
    <definedName name="current_liabilities">'Equidam Financials Input'!$N$88:$S$88</definedName>
    <definedName name="days_in_year">'[1]BWI Assumption Workings'!$D$23</definedName>
    <definedName name="debt">'Equidam Financials Input'!$E$56:$J$56</definedName>
    <definedName name="EBIT">'Equidam Financials Input'!$N$71:$S$71</definedName>
    <definedName name="EBITDA">'Equidam Financials Input'!$N$64:$S$64</definedName>
    <definedName name="employee_salary">'Equidam Financials Input'!$N$45:$S$45</definedName>
    <definedName name="furn_soft_equip">'Equidam Financials Input'!$N$54:$S$54</definedName>
    <definedName name="furn_soft_equip_depreciation">'Equidam Financials Input'!$N$67:$S$67</definedName>
    <definedName name="initial_training">'Equidam Financials Input'!$N$52:$S$52</definedName>
    <definedName name="insurance">'Equidam Financials Input'!$N$38:$S$38</definedName>
    <definedName name="interest_on_debt">'Equidam Financials Input'!$N$73:$S$73</definedName>
    <definedName name="interest_on_debts">'Equidam Financials Input'!$E$23:$J$23</definedName>
    <definedName name="interest_rate">'[1]BWI Assumption Workings'!$D$58</definedName>
    <definedName name="IT">'Equidam Financials Input'!$N$55:$S$55</definedName>
    <definedName name="maintenance">'Equidam Financials Input'!$N$39:$S$39</definedName>
    <definedName name="management_salary">'Equidam Financials Input'!$N$43:$S$43</definedName>
    <definedName name="misc">'Equidam Financials Input'!$N$59:$S$59</definedName>
    <definedName name="net_income">'Equidam Financials Input'!$N$76:$S$76</definedName>
    <definedName name="net_working_capital">'Equidam Financials Input'!$N$90:$S$90</definedName>
    <definedName name="net_working_capital_t_minus_1">'Equidam Financials Input'!$M$90:$R$90</definedName>
    <definedName name="offices">'Equidam Financials Input'!$N$50:$S$50</definedName>
    <definedName name="operating_cash_flow">'Equidam Financials Input'!#REF!</definedName>
    <definedName name="other_operating_cost">'Equidam Financials Input'!$N$60:$S$60</definedName>
    <definedName name="Postholder_salary">'Equidam Financials Input'!$N$44:$S$44</definedName>
    <definedName name="recurrent_training">'Equidam Financials Input'!$N$53:$S$53</definedName>
    <definedName name="required_capital">'Equidam Financials Input'!$M$6</definedName>
    <definedName name="revenues">'Equidam Financials Input'!$N$35:$S$35</definedName>
    <definedName name="revised_ACMI">'[1]CASH FLOW with Yearly results'!$BO$8:$BT$8</definedName>
    <definedName name="Salary">'Equidam Financials Input'!$N$47:$S$47</definedName>
    <definedName name="spain_corp_tax_rate">'[1]BWI Assumption Workings'!$D$74</definedName>
    <definedName name="start_up_cost_amortization">'Equidam Financials Input'!$N$68:$S$68</definedName>
    <definedName name="subscriptions">'Equidam Financials Input'!$N$56:$S$56</definedName>
    <definedName name="tax">'Equidam Financials Input'!$N$74:$S$74</definedName>
    <definedName name="total_dep_and_amort">'Equidam Financials Input'!$N$69:$S$69</definedName>
    <definedName name="total_operating_expenses">'Equidam Financials Input'!$N$62:$S$62</definedName>
    <definedName name="total_revised_startup_costs">'Equidam Financials Input'!$M$30</definedName>
    <definedName name="total_shareholders_equity">'Equidam Financials Input'!$E$58:$J$58</definedName>
    <definedName name="total_startup_asset_funds">'Equidam Financials Input'!$M$13</definedName>
    <definedName name="travel">'Equidam Financials Input'!$N$57:$S$57</definedName>
    <definedName name="uniform_writeoff_expense">'Equidam Financials Input'!$N$66:$S$66</definedName>
    <definedName name="uniforms">'Equidam Financials Input'!$N$51:$S$51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" l="1"/>
  <c r="D39" i="3"/>
  <c r="D42" i="3"/>
  <c r="F20" i="8"/>
  <c r="D17" i="8"/>
  <c r="D16" i="8"/>
  <c r="D15" i="8"/>
  <c r="D13" i="8"/>
  <c r="D12" i="8"/>
  <c r="D10" i="8"/>
  <c r="F17" i="2"/>
  <c r="D6" i="8"/>
  <c r="B154" i="4"/>
  <c r="D161" i="4"/>
  <c r="J160" i="4" s="1"/>
  <c r="H169" i="4"/>
  <c r="L169" i="4" s="1"/>
  <c r="I169" i="4"/>
  <c r="J169" i="4"/>
  <c r="K169" i="4"/>
  <c r="B171" i="4"/>
  <c r="B182" i="4"/>
  <c r="B194" i="4"/>
  <c r="G199" i="4"/>
  <c r="H199" i="4"/>
  <c r="I199" i="4"/>
  <c r="J199" i="4"/>
  <c r="K199" i="4" s="1"/>
  <c r="L199" i="4" s="1"/>
  <c r="G203" i="4"/>
  <c r="H203" i="4"/>
  <c r="I203" i="4"/>
  <c r="J203" i="4" s="1"/>
  <c r="K203" i="4" s="1"/>
  <c r="B206" i="4"/>
  <c r="B225" i="4"/>
  <c r="H236" i="4"/>
  <c r="I236" i="4" s="1"/>
  <c r="H237" i="4"/>
  <c r="I237" i="4" s="1"/>
  <c r="J237" i="4" s="1"/>
  <c r="K237" i="4" s="1"/>
  <c r="L237" i="4" s="1"/>
  <c r="B240" i="4"/>
  <c r="G240" i="4"/>
  <c r="H240" i="4"/>
  <c r="I240" i="4"/>
  <c r="J240" i="4"/>
  <c r="J241" i="4" s="1"/>
  <c r="K240" i="4"/>
  <c r="K241" i="4" s="1"/>
  <c r="K239" i="4" s="1"/>
  <c r="L240" i="4"/>
  <c r="L241" i="4" s="1"/>
  <c r="L239" i="4" s="1"/>
  <c r="B250" i="4"/>
  <c r="G19" i="2"/>
  <c r="B19" i="2"/>
  <c r="L105" i="3"/>
  <c r="K105" i="3"/>
  <c r="J105" i="3"/>
  <c r="I105" i="3"/>
  <c r="H105" i="3"/>
  <c r="H91" i="3"/>
  <c r="H81" i="3"/>
  <c r="I81" i="3" s="1"/>
  <c r="H74" i="3"/>
  <c r="H76" i="3" s="1"/>
  <c r="H83" i="3" s="1"/>
  <c r="H87" i="3" s="1"/>
  <c r="I91" i="3" s="1"/>
  <c r="F11" i="2"/>
  <c r="F10" i="2"/>
  <c r="B121" i="3"/>
  <c r="H113" i="3"/>
  <c r="B98" i="3"/>
  <c r="H56" i="3"/>
  <c r="I56" i="3" s="1"/>
  <c r="J56" i="3" s="1"/>
  <c r="K56" i="3" s="1"/>
  <c r="L56" i="3" s="1"/>
  <c r="H59" i="3"/>
  <c r="B67" i="3"/>
  <c r="D29" i="8"/>
  <c r="D28" i="8"/>
  <c r="D27" i="8"/>
  <c r="D26" i="8"/>
  <c r="D25" i="8"/>
  <c r="D24" i="8"/>
  <c r="D23" i="8"/>
  <c r="F13" i="8"/>
  <c r="G13" i="8"/>
  <c r="H13" i="8"/>
  <c r="I13" i="8"/>
  <c r="B17" i="6"/>
  <c r="E13" i="8"/>
  <c r="B3" i="4"/>
  <c r="B3" i="3"/>
  <c r="B3" i="2"/>
  <c r="B2" i="1"/>
  <c r="G51" i="2"/>
  <c r="G13" i="2"/>
  <c r="D5" i="8" s="1"/>
  <c r="H160" i="4" l="1"/>
  <c r="H234" i="4"/>
  <c r="I206" i="4"/>
  <c r="H206" i="4"/>
  <c r="I160" i="4"/>
  <c r="L203" i="4"/>
  <c r="L206" i="4" s="1"/>
  <c r="K206" i="4"/>
  <c r="J236" i="4"/>
  <c r="I234" i="4"/>
  <c r="I241" i="4"/>
  <c r="I239" i="4" s="1"/>
  <c r="J239" i="4"/>
  <c r="J206" i="4"/>
  <c r="H241" i="4"/>
  <c r="H239" i="4" s="1"/>
  <c r="L160" i="4"/>
  <c r="K160" i="4"/>
  <c r="H93" i="3"/>
  <c r="H96" i="3" s="1"/>
  <c r="I74" i="3"/>
  <c r="J81" i="3"/>
  <c r="K81" i="3" s="1"/>
  <c r="L81" i="3" s="1"/>
  <c r="H62" i="3"/>
  <c r="G41" i="2"/>
  <c r="G40" i="2"/>
  <c r="G37" i="2"/>
  <c r="G36" i="2"/>
  <c r="K236" i="4" l="1"/>
  <c r="J234" i="4"/>
  <c r="J74" i="3"/>
  <c r="I76" i="3"/>
  <c r="I83" i="3" s="1"/>
  <c r="I87" i="3" s="1"/>
  <c r="H98" i="3"/>
  <c r="H10" i="2" s="1"/>
  <c r="I59" i="3"/>
  <c r="I62" i="3" s="1"/>
  <c r="H65" i="3"/>
  <c r="H67" i="3" s="1"/>
  <c r="D9" i="6"/>
  <c r="G43" i="2"/>
  <c r="D8" i="8" s="1"/>
  <c r="G65" i="2"/>
  <c r="G32" i="2"/>
  <c r="D7" i="8" s="1"/>
  <c r="F9" i="2"/>
  <c r="F8" i="2"/>
  <c r="H95" i="2"/>
  <c r="L89" i="2"/>
  <c r="K89" i="2"/>
  <c r="J89" i="2"/>
  <c r="I89" i="2"/>
  <c r="L88" i="2"/>
  <c r="K88" i="2"/>
  <c r="J88" i="2"/>
  <c r="I88" i="2"/>
  <c r="H89" i="2"/>
  <c r="H88" i="2"/>
  <c r="L83" i="2"/>
  <c r="K83" i="2"/>
  <c r="J83" i="2"/>
  <c r="I83" i="2"/>
  <c r="H83" i="2"/>
  <c r="F41" i="2"/>
  <c r="F40" i="2"/>
  <c r="F39" i="2"/>
  <c r="F38" i="2"/>
  <c r="F37" i="2"/>
  <c r="F36" i="2"/>
  <c r="F30" i="2"/>
  <c r="F23" i="2"/>
  <c r="F24" i="2"/>
  <c r="F28" i="2"/>
  <c r="F27" i="2"/>
  <c r="F26" i="2"/>
  <c r="F25" i="2"/>
  <c r="K234" i="4" l="1"/>
  <c r="L236" i="4"/>
  <c r="L234" i="4" s="1"/>
  <c r="J91" i="3"/>
  <c r="I93" i="3"/>
  <c r="I96" i="3" s="1"/>
  <c r="I98" i="3" s="1"/>
  <c r="I10" i="2" s="1"/>
  <c r="J76" i="3"/>
  <c r="J83" i="3" s="1"/>
  <c r="J87" i="3" s="1"/>
  <c r="K91" i="3" s="1"/>
  <c r="K74" i="3"/>
  <c r="J59" i="3"/>
  <c r="J62" i="3" s="1"/>
  <c r="I65" i="3"/>
  <c r="I67" i="3" s="1"/>
  <c r="G46" i="2"/>
  <c r="H23" i="6"/>
  <c r="J93" i="3" l="1"/>
  <c r="J96" i="3" s="1"/>
  <c r="J98" i="3" s="1"/>
  <c r="J10" i="2" s="1"/>
  <c r="K76" i="3"/>
  <c r="K83" i="3" s="1"/>
  <c r="K87" i="3" s="1"/>
  <c r="L91" i="3" s="1"/>
  <c r="L74" i="3"/>
  <c r="L76" i="3" s="1"/>
  <c r="L83" i="3" s="1"/>
  <c r="L87" i="3" s="1"/>
  <c r="J65" i="3"/>
  <c r="J67" i="3" s="1"/>
  <c r="K59" i="3"/>
  <c r="K62" i="3" s="1"/>
  <c r="E10" i="8"/>
  <c r="G53" i="2"/>
  <c r="G60" i="2" s="1"/>
  <c r="G67" i="2" s="1"/>
  <c r="H50" i="2"/>
  <c r="H20" i="6"/>
  <c r="L93" i="3" l="1"/>
  <c r="L96" i="3" s="1"/>
  <c r="K93" i="3"/>
  <c r="K96" i="3" s="1"/>
  <c r="K98" i="3"/>
  <c r="K10" i="2" s="1"/>
  <c r="L98" i="3"/>
  <c r="L10" i="2" s="1"/>
  <c r="K65" i="3"/>
  <c r="K67" i="3" s="1"/>
  <c r="L59" i="3"/>
  <c r="L62" i="3" s="1"/>
  <c r="L65" i="3" s="1"/>
  <c r="L67" i="3" s="1"/>
  <c r="F10" i="8"/>
  <c r="I20" i="6"/>
  <c r="G10" i="8"/>
  <c r="I50" i="2"/>
  <c r="H40" i="2"/>
  <c r="I23" i="6"/>
  <c r="J23" i="6" s="1"/>
  <c r="K23" i="6" s="1"/>
  <c r="L23" i="6" s="1"/>
  <c r="H10" i="8" l="1"/>
  <c r="J50" i="2"/>
  <c r="J20" i="6"/>
  <c r="I40" i="2"/>
  <c r="K50" i="2" l="1"/>
  <c r="K51" i="2" s="1"/>
  <c r="K20" i="6"/>
  <c r="J40" i="2"/>
  <c r="L59" i="6"/>
  <c r="I19" i="8" s="1"/>
  <c r="K59" i="6"/>
  <c r="H19" i="8" s="1"/>
  <c r="J59" i="6"/>
  <c r="G19" i="8" s="1"/>
  <c r="I59" i="6"/>
  <c r="F19" i="8" s="1"/>
  <c r="H59" i="6"/>
  <c r="E19" i="8" s="1"/>
  <c r="L52" i="6"/>
  <c r="I21" i="8" s="1"/>
  <c r="K52" i="6"/>
  <c r="H21" i="8" s="1"/>
  <c r="J52" i="6"/>
  <c r="G21" i="8" s="1"/>
  <c r="I52" i="6"/>
  <c r="F21" i="8" s="1"/>
  <c r="H52" i="6"/>
  <c r="E21" i="8" s="1"/>
  <c r="H43" i="6"/>
  <c r="L42" i="6"/>
  <c r="L45" i="6" s="1"/>
  <c r="I20" i="8" s="1"/>
  <c r="K42" i="6"/>
  <c r="K45" i="6" s="1"/>
  <c r="H20" i="8" s="1"/>
  <c r="J42" i="6"/>
  <c r="J45" i="6" s="1"/>
  <c r="G20" i="8" s="1"/>
  <c r="I42" i="6"/>
  <c r="I45" i="6" s="1"/>
  <c r="H42" i="6"/>
  <c r="H45" i="6" s="1"/>
  <c r="E20" i="8" s="1"/>
  <c r="B36" i="6"/>
  <c r="B11" i="6"/>
  <c r="L3" i="6"/>
  <c r="L55" i="6" s="1"/>
  <c r="K3" i="6"/>
  <c r="K55" i="6" s="1"/>
  <c r="J3" i="6"/>
  <c r="J55" i="6" s="1"/>
  <c r="I3" i="6"/>
  <c r="I55" i="6" s="1"/>
  <c r="H3" i="6"/>
  <c r="H55" i="6" s="1"/>
  <c r="B129" i="4"/>
  <c r="B122" i="4"/>
  <c r="B121" i="4"/>
  <c r="B118" i="4"/>
  <c r="B117" i="4"/>
  <c r="B106" i="4"/>
  <c r="B105" i="4"/>
  <c r="B83" i="4"/>
  <c r="B82" i="4"/>
  <c r="H67" i="4"/>
  <c r="B62" i="4"/>
  <c r="B61" i="4"/>
  <c r="H46" i="4"/>
  <c r="I46" i="4" s="1"/>
  <c r="B41" i="4"/>
  <c r="B40" i="4"/>
  <c r="B29" i="4"/>
  <c r="B28" i="4"/>
  <c r="L26" i="4"/>
  <c r="K26" i="4"/>
  <c r="J26" i="4"/>
  <c r="I26" i="4"/>
  <c r="H26" i="4"/>
  <c r="L20" i="4"/>
  <c r="K20" i="4"/>
  <c r="J20" i="4"/>
  <c r="I20" i="4"/>
  <c r="H20" i="4"/>
  <c r="H16" i="4"/>
  <c r="L13" i="4"/>
  <c r="K13" i="4"/>
  <c r="J13" i="4"/>
  <c r="I13" i="4"/>
  <c r="H13" i="4"/>
  <c r="H9" i="4"/>
  <c r="I9" i="4" s="1"/>
  <c r="J9" i="4" s="1"/>
  <c r="K9" i="4" s="1"/>
  <c r="L9" i="4" s="1"/>
  <c r="L3" i="4"/>
  <c r="K3" i="4"/>
  <c r="J3" i="4"/>
  <c r="I3" i="4"/>
  <c r="H3" i="4"/>
  <c r="B51" i="3"/>
  <c r="C49" i="3"/>
  <c r="C41" i="3" s="1"/>
  <c r="G41" i="3" s="1"/>
  <c r="C48" i="3"/>
  <c r="C34" i="3" s="1"/>
  <c r="C47" i="3"/>
  <c r="C33" i="3" s="1"/>
  <c r="C46" i="3"/>
  <c r="C38" i="3" s="1"/>
  <c r="G38" i="3" s="1"/>
  <c r="G42" i="3"/>
  <c r="G29" i="3"/>
  <c r="G28" i="3"/>
  <c r="G27" i="3"/>
  <c r="G26" i="3"/>
  <c r="H17" i="3"/>
  <c r="I17" i="3" s="1"/>
  <c r="J17" i="3" s="1"/>
  <c r="K17" i="3" s="1"/>
  <c r="L17" i="3" s="1"/>
  <c r="H10" i="3"/>
  <c r="H148" i="4" s="1"/>
  <c r="H149" i="4" s="1"/>
  <c r="L3" i="3"/>
  <c r="K3" i="3"/>
  <c r="K100" i="3" s="1"/>
  <c r="J3" i="3"/>
  <c r="J100" i="3" s="1"/>
  <c r="I3" i="3"/>
  <c r="I100" i="3" s="1"/>
  <c r="H3" i="3"/>
  <c r="H100" i="3" s="1"/>
  <c r="I1" i="3"/>
  <c r="J84" i="2"/>
  <c r="I84" i="2"/>
  <c r="H84" i="2"/>
  <c r="B84" i="2"/>
  <c r="L84" i="2"/>
  <c r="K84" i="2"/>
  <c r="G73" i="2"/>
  <c r="B65" i="2"/>
  <c r="B58" i="2"/>
  <c r="B51" i="2"/>
  <c r="J51" i="2"/>
  <c r="I51" i="2"/>
  <c r="H51" i="2"/>
  <c r="B43" i="2"/>
  <c r="B32" i="2"/>
  <c r="G5" i="2"/>
  <c r="J218" i="4" l="1"/>
  <c r="K218" i="4"/>
  <c r="L218" i="4"/>
  <c r="J132" i="4"/>
  <c r="J145" i="4"/>
  <c r="L132" i="4"/>
  <c r="L145" i="4"/>
  <c r="K145" i="4"/>
  <c r="K132" i="4"/>
  <c r="I16" i="4"/>
  <c r="H17" i="2"/>
  <c r="H19" i="2" s="1"/>
  <c r="E6" i="8" s="1"/>
  <c r="H145" i="4"/>
  <c r="H132" i="4"/>
  <c r="I145" i="4"/>
  <c r="I132" i="4"/>
  <c r="H218" i="4"/>
  <c r="I218" i="4"/>
  <c r="L69" i="3"/>
  <c r="L100" i="3"/>
  <c r="H53" i="3"/>
  <c r="H69" i="3"/>
  <c r="K53" i="3"/>
  <c r="K69" i="3"/>
  <c r="I53" i="3"/>
  <c r="I69" i="3"/>
  <c r="J53" i="3"/>
  <c r="J69" i="3"/>
  <c r="L5" i="3"/>
  <c r="L53" i="3"/>
  <c r="L50" i="2"/>
  <c r="L51" i="2" s="1"/>
  <c r="L76" i="2" s="1"/>
  <c r="I10" i="8"/>
  <c r="K76" i="2"/>
  <c r="J76" i="2"/>
  <c r="H76" i="2"/>
  <c r="I76" i="2"/>
  <c r="C32" i="3"/>
  <c r="I43" i="6"/>
  <c r="H87" i="2"/>
  <c r="H90" i="2" s="1"/>
  <c r="H26" i="6"/>
  <c r="L20" i="6"/>
  <c r="I23" i="4"/>
  <c r="I28" i="4"/>
  <c r="J23" i="4"/>
  <c r="J28" i="4"/>
  <c r="H23" i="4"/>
  <c r="H29" i="4" s="1"/>
  <c r="H23" i="2" s="1"/>
  <c r="H28" i="4"/>
  <c r="L23" i="4"/>
  <c r="L28" i="4"/>
  <c r="K23" i="4"/>
  <c r="K28" i="4"/>
  <c r="L40" i="2"/>
  <c r="K40" i="2"/>
  <c r="K6" i="6"/>
  <c r="L6" i="6"/>
  <c r="K5" i="3"/>
  <c r="J31" i="6"/>
  <c r="K31" i="6"/>
  <c r="C40" i="3"/>
  <c r="G40" i="3" s="1"/>
  <c r="L31" i="6"/>
  <c r="J6" i="6"/>
  <c r="H57" i="2"/>
  <c r="H58" i="2" s="1"/>
  <c r="I6" i="4"/>
  <c r="K6" i="4"/>
  <c r="H12" i="3"/>
  <c r="H19" i="3" s="1"/>
  <c r="C35" i="3"/>
  <c r="I10" i="3"/>
  <c r="I148" i="4" s="1"/>
  <c r="I149" i="4" s="1"/>
  <c r="C39" i="3"/>
  <c r="G39" i="3" s="1"/>
  <c r="L6" i="4"/>
  <c r="H5" i="3"/>
  <c r="J46" i="4"/>
  <c r="I5" i="3"/>
  <c r="J6" i="4"/>
  <c r="I50" i="4"/>
  <c r="J5" i="3"/>
  <c r="I67" i="4"/>
  <c r="H6" i="6"/>
  <c r="H31" i="6"/>
  <c r="I6" i="6"/>
  <c r="I31" i="6"/>
  <c r="H50" i="4"/>
  <c r="H6" i="4"/>
  <c r="H71" i="4"/>
  <c r="H103" i="3" s="1"/>
  <c r="H107" i="3" s="1"/>
  <c r="H110" i="3" s="1"/>
  <c r="H116" i="3" s="1"/>
  <c r="J16" i="4" l="1"/>
  <c r="J29" i="4" s="1"/>
  <c r="J23" i="2" s="1"/>
  <c r="I17" i="2"/>
  <c r="I19" i="2" s="1"/>
  <c r="F6" i="8" s="1"/>
  <c r="I29" i="4"/>
  <c r="I23" i="2" s="1"/>
  <c r="H119" i="3"/>
  <c r="H121" i="3" s="1"/>
  <c r="H11" i="2" s="1"/>
  <c r="I113" i="3"/>
  <c r="E12" i="8"/>
  <c r="J43" i="6"/>
  <c r="I87" i="2"/>
  <c r="I90" i="2" s="1"/>
  <c r="I26" i="6"/>
  <c r="H77" i="4"/>
  <c r="H79" i="4" s="1"/>
  <c r="H80" i="4" s="1"/>
  <c r="H23" i="3"/>
  <c r="J50" i="4"/>
  <c r="K46" i="4"/>
  <c r="J10" i="3"/>
  <c r="J148" i="4" s="1"/>
  <c r="J149" i="4" s="1"/>
  <c r="I12" i="3"/>
  <c r="I19" i="3" s="1"/>
  <c r="H9" i="2"/>
  <c r="I71" i="4"/>
  <c r="I103" i="3" s="1"/>
  <c r="I107" i="3" s="1"/>
  <c r="I110" i="3" s="1"/>
  <c r="J67" i="4"/>
  <c r="K16" i="4" l="1"/>
  <c r="J17" i="2"/>
  <c r="J19" i="2" s="1"/>
  <c r="G6" i="8" s="1"/>
  <c r="I116" i="3"/>
  <c r="I57" i="2"/>
  <c r="I58" i="2" s="1"/>
  <c r="K43" i="6"/>
  <c r="J87" i="2"/>
  <c r="J90" i="2" s="1"/>
  <c r="J26" i="6"/>
  <c r="H83" i="4"/>
  <c r="H26" i="2" s="1"/>
  <c r="I9" i="2"/>
  <c r="I77" i="4"/>
  <c r="I79" i="4" s="1"/>
  <c r="I23" i="3"/>
  <c r="I28" i="3" s="1"/>
  <c r="J71" i="4"/>
  <c r="J103" i="3" s="1"/>
  <c r="J107" i="3" s="1"/>
  <c r="J110" i="3" s="1"/>
  <c r="K67" i="4"/>
  <c r="H82" i="4"/>
  <c r="K50" i="4"/>
  <c r="L46" i="4"/>
  <c r="H56" i="4"/>
  <c r="H58" i="4" s="1"/>
  <c r="H27" i="3"/>
  <c r="H28" i="3"/>
  <c r="H100" i="4"/>
  <c r="H103" i="4" s="1"/>
  <c r="H26" i="3"/>
  <c r="H29" i="3"/>
  <c r="K10" i="3"/>
  <c r="K148" i="4" s="1"/>
  <c r="K149" i="4" s="1"/>
  <c r="J12" i="3"/>
  <c r="J19" i="3" s="1"/>
  <c r="L16" i="4" l="1"/>
  <c r="K17" i="2"/>
  <c r="K19" i="2" s="1"/>
  <c r="H6" i="8" s="1"/>
  <c r="K29" i="4"/>
  <c r="K23" i="2" s="1"/>
  <c r="I119" i="3"/>
  <c r="I121" i="3" s="1"/>
  <c r="I11" i="2" s="1"/>
  <c r="J113" i="3"/>
  <c r="J116" i="3" s="1"/>
  <c r="F12" i="8"/>
  <c r="J57" i="2"/>
  <c r="J58" i="2" s="1"/>
  <c r="L43" i="6"/>
  <c r="K87" i="2"/>
  <c r="K90" i="2" s="1"/>
  <c r="K26" i="6"/>
  <c r="H59" i="4"/>
  <c r="H62" i="4" s="1"/>
  <c r="H25" i="2" s="1"/>
  <c r="I80" i="4"/>
  <c r="I83" i="4" s="1"/>
  <c r="I26" i="2" s="1"/>
  <c r="J9" i="2"/>
  <c r="H34" i="3"/>
  <c r="H40" i="3" s="1"/>
  <c r="H48" i="3" s="1"/>
  <c r="I82" i="4"/>
  <c r="K71" i="4"/>
  <c r="K103" i="3" s="1"/>
  <c r="K107" i="3" s="1"/>
  <c r="K110" i="3" s="1"/>
  <c r="L67" i="4"/>
  <c r="H35" i="3"/>
  <c r="H41" i="3" s="1"/>
  <c r="H49" i="3" s="1"/>
  <c r="J23" i="3"/>
  <c r="J77" i="4"/>
  <c r="J79" i="4" s="1"/>
  <c r="H32" i="3"/>
  <c r="H38" i="3" s="1"/>
  <c r="H46" i="3" s="1"/>
  <c r="H61" i="4"/>
  <c r="K12" i="3"/>
  <c r="K19" i="3" s="1"/>
  <c r="L10" i="3"/>
  <c r="L148" i="4" s="1"/>
  <c r="L149" i="4" s="1"/>
  <c r="H102" i="4"/>
  <c r="H33" i="3"/>
  <c r="H39" i="3" s="1"/>
  <c r="H47" i="3" s="1"/>
  <c r="I100" i="4"/>
  <c r="I103" i="4" s="1"/>
  <c r="I56" i="4"/>
  <c r="I58" i="4" s="1"/>
  <c r="I27" i="3"/>
  <c r="I26" i="3"/>
  <c r="I29" i="3"/>
  <c r="L50" i="4"/>
  <c r="L17" i="2" l="1"/>
  <c r="L19" i="2" s="1"/>
  <c r="I6" i="8" s="1"/>
  <c r="L29" i="4"/>
  <c r="L23" i="2" s="1"/>
  <c r="K113" i="3"/>
  <c r="K116" i="3" s="1"/>
  <c r="J119" i="3"/>
  <c r="J121" i="3" s="1"/>
  <c r="J11" i="2" s="1"/>
  <c r="G12" i="8"/>
  <c r="K57" i="2"/>
  <c r="K58" i="2" s="1"/>
  <c r="L87" i="2"/>
  <c r="L90" i="2" s="1"/>
  <c r="L26" i="6"/>
  <c r="I59" i="4"/>
  <c r="I62" i="4" s="1"/>
  <c r="I25" i="2" s="1"/>
  <c r="J80" i="4"/>
  <c r="J83" i="4" s="1"/>
  <c r="J26" i="2" s="1"/>
  <c r="J82" i="4"/>
  <c r="I33" i="3"/>
  <c r="I39" i="3" s="1"/>
  <c r="I47" i="3" s="1"/>
  <c r="I35" i="3"/>
  <c r="I41" i="3" s="1"/>
  <c r="I49" i="3" s="1"/>
  <c r="I34" i="3"/>
  <c r="I40" i="3" s="1"/>
  <c r="I48" i="3" s="1"/>
  <c r="I102" i="4"/>
  <c r="H42" i="3"/>
  <c r="H135" i="4" s="1"/>
  <c r="H137" i="4" s="1"/>
  <c r="H138" i="4" s="1"/>
  <c r="H142" i="4" s="1"/>
  <c r="I32" i="3"/>
  <c r="J28" i="3"/>
  <c r="J100" i="4"/>
  <c r="J103" i="4" s="1"/>
  <c r="J56" i="4"/>
  <c r="J58" i="4" s="1"/>
  <c r="J27" i="3"/>
  <c r="J26" i="3"/>
  <c r="J29" i="3"/>
  <c r="L71" i="4"/>
  <c r="L103" i="3" s="1"/>
  <c r="L107" i="3" s="1"/>
  <c r="L110" i="3" s="1"/>
  <c r="K77" i="4"/>
  <c r="K79" i="4" s="1"/>
  <c r="K23" i="3"/>
  <c r="K9" i="2"/>
  <c r="L9" i="2"/>
  <c r="I61" i="4"/>
  <c r="L12" i="3"/>
  <c r="L19" i="3" s="1"/>
  <c r="K119" i="3" l="1"/>
  <c r="K121" i="3" s="1"/>
  <c r="K11" i="2" s="1"/>
  <c r="L113" i="3"/>
  <c r="L116" i="3" s="1"/>
  <c r="H12" i="8"/>
  <c r="L57" i="2"/>
  <c r="L58" i="2" s="1"/>
  <c r="J59" i="4"/>
  <c r="J62" i="4" s="1"/>
  <c r="J25" i="2" s="1"/>
  <c r="K80" i="4"/>
  <c r="K83" i="4" s="1"/>
  <c r="K26" i="2" s="1"/>
  <c r="K82" i="4"/>
  <c r="H51" i="3"/>
  <c r="H123" i="3" s="1"/>
  <c r="J35" i="3"/>
  <c r="J41" i="3" s="1"/>
  <c r="J49" i="3" s="1"/>
  <c r="J33" i="3"/>
  <c r="J39" i="3" s="1"/>
  <c r="J47" i="3" s="1"/>
  <c r="J34" i="3"/>
  <c r="J40" i="3" s="1"/>
  <c r="J48" i="3" s="1"/>
  <c r="J61" i="4"/>
  <c r="H91" i="4"/>
  <c r="H114" i="4"/>
  <c r="H115" i="4" s="1"/>
  <c r="L77" i="4"/>
  <c r="L79" i="4" s="1"/>
  <c r="L23" i="3"/>
  <c r="J102" i="4"/>
  <c r="I38" i="3"/>
  <c r="I46" i="3" s="1"/>
  <c r="K56" i="4"/>
  <c r="K58" i="4" s="1"/>
  <c r="K100" i="4"/>
  <c r="K103" i="4" s="1"/>
  <c r="K28" i="3"/>
  <c r="K26" i="3"/>
  <c r="K27" i="3"/>
  <c r="K29" i="3"/>
  <c r="H13" i="2" l="1"/>
  <c r="H20" i="2" s="1"/>
  <c r="H215" i="4"/>
  <c r="H180" i="4"/>
  <c r="H223" i="4"/>
  <c r="H176" i="4"/>
  <c r="H152" i="4"/>
  <c r="H154" i="4" s="1"/>
  <c r="H155" i="4" s="1"/>
  <c r="H188" i="4"/>
  <c r="H207" i="4"/>
  <c r="H139" i="4"/>
  <c r="H143" i="4"/>
  <c r="L119" i="3"/>
  <c r="L121" i="3" s="1"/>
  <c r="L11" i="2" s="1"/>
  <c r="I12" i="8"/>
  <c r="H8" i="2"/>
  <c r="H94" i="4"/>
  <c r="H106" i="4" s="1"/>
  <c r="H37" i="4"/>
  <c r="H38" i="4" s="1"/>
  <c r="K59" i="4"/>
  <c r="K62" i="4" s="1"/>
  <c r="K25" i="2" s="1"/>
  <c r="L80" i="4"/>
  <c r="L83" i="4" s="1"/>
  <c r="L26" i="2" s="1"/>
  <c r="L82" i="4"/>
  <c r="K33" i="3"/>
  <c r="K39" i="3" s="1"/>
  <c r="K47" i="3" s="1"/>
  <c r="K34" i="3"/>
  <c r="K40" i="3" s="1"/>
  <c r="K48" i="3" s="1"/>
  <c r="K35" i="3"/>
  <c r="K41" i="3" s="1"/>
  <c r="K49" i="3" s="1"/>
  <c r="K61" i="4"/>
  <c r="I51" i="3"/>
  <c r="I123" i="3" s="1"/>
  <c r="J32" i="3"/>
  <c r="I42" i="3"/>
  <c r="I135" i="4" s="1"/>
  <c r="I137" i="4" s="1"/>
  <c r="I138" i="4" s="1"/>
  <c r="I142" i="4" s="1"/>
  <c r="H117" i="4"/>
  <c r="H118" i="4"/>
  <c r="K102" i="4"/>
  <c r="H93" i="4"/>
  <c r="H105" i="4" s="1"/>
  <c r="L100" i="4"/>
  <c r="L103" i="4" s="1"/>
  <c r="L26" i="3"/>
  <c r="L56" i="4"/>
  <c r="L58" i="4" s="1"/>
  <c r="L28" i="3"/>
  <c r="L29" i="3"/>
  <c r="L27" i="3"/>
  <c r="I13" i="2" l="1"/>
  <c r="I20" i="2" s="1"/>
  <c r="I223" i="4"/>
  <c r="I188" i="4"/>
  <c r="I215" i="4"/>
  <c r="I152" i="4"/>
  <c r="I154" i="4" s="1"/>
  <c r="I155" i="4" s="1"/>
  <c r="I176" i="4"/>
  <c r="I180" i="4"/>
  <c r="I207" i="4"/>
  <c r="I139" i="4"/>
  <c r="I143" i="4"/>
  <c r="H182" i="4"/>
  <c r="H183" i="4" s="1"/>
  <c r="H11" i="6"/>
  <c r="E15" i="8" s="1"/>
  <c r="H17" i="6"/>
  <c r="E5" i="8"/>
  <c r="H30" i="4"/>
  <c r="H84" i="4"/>
  <c r="H63" i="4"/>
  <c r="I11" i="6"/>
  <c r="F15" i="8" s="1"/>
  <c r="I8" i="2"/>
  <c r="H119" i="4"/>
  <c r="H28" i="2"/>
  <c r="H107" i="4"/>
  <c r="H27" i="2"/>
  <c r="L59" i="4"/>
  <c r="L62" i="4" s="1"/>
  <c r="L25" i="2" s="1"/>
  <c r="L35" i="3"/>
  <c r="L41" i="3" s="1"/>
  <c r="L49" i="3" s="1"/>
  <c r="L33" i="3"/>
  <c r="L39" i="3" s="1"/>
  <c r="L47" i="3" s="1"/>
  <c r="L34" i="3"/>
  <c r="L40" i="3" s="1"/>
  <c r="L48" i="3" s="1"/>
  <c r="H41" i="4"/>
  <c r="H24" i="2" s="1"/>
  <c r="H40" i="4"/>
  <c r="H121" i="4" s="1"/>
  <c r="L102" i="4"/>
  <c r="I91" i="4"/>
  <c r="I114" i="4"/>
  <c r="I115" i="4" s="1"/>
  <c r="L61" i="4"/>
  <c r="J38" i="3"/>
  <c r="J46" i="3" s="1"/>
  <c r="I182" i="4" l="1"/>
  <c r="I183" i="4" s="1"/>
  <c r="H211" i="4"/>
  <c r="H165" i="4"/>
  <c r="H171" i="4" s="1"/>
  <c r="H172" i="4" s="1"/>
  <c r="H219" i="4"/>
  <c r="H220" i="4" s="1"/>
  <c r="H192" i="4"/>
  <c r="H194" i="4" s="1"/>
  <c r="H195" i="4" s="1"/>
  <c r="H77" i="2"/>
  <c r="F5" i="8"/>
  <c r="I17" i="6"/>
  <c r="H78" i="2"/>
  <c r="E16" i="8"/>
  <c r="H38" i="2"/>
  <c r="I84" i="4"/>
  <c r="I30" i="4"/>
  <c r="I63" i="4"/>
  <c r="H36" i="2"/>
  <c r="I77" i="2"/>
  <c r="I94" i="4"/>
  <c r="I106" i="4" s="1"/>
  <c r="I37" i="4"/>
  <c r="I38" i="4" s="1"/>
  <c r="H14" i="2"/>
  <c r="J51" i="3"/>
  <c r="J123" i="3" s="1"/>
  <c r="J42" i="3"/>
  <c r="J135" i="4" s="1"/>
  <c r="J137" i="4" s="1"/>
  <c r="J138" i="4" s="1"/>
  <c r="J142" i="4" s="1"/>
  <c r="K32" i="3"/>
  <c r="I93" i="4"/>
  <c r="I105" i="4" s="1"/>
  <c r="H42" i="4"/>
  <c r="H122" i="4"/>
  <c r="H127" i="4" s="1"/>
  <c r="H30" i="2" s="1"/>
  <c r="H32" i="2" s="1"/>
  <c r="I117" i="4"/>
  <c r="I118" i="4"/>
  <c r="H225" i="4" l="1"/>
  <c r="H228" i="4" s="1"/>
  <c r="H229" i="4" s="1"/>
  <c r="J13" i="2"/>
  <c r="J20" i="2" s="1"/>
  <c r="J180" i="4"/>
  <c r="J176" i="4"/>
  <c r="J223" i="4"/>
  <c r="J215" i="4"/>
  <c r="J188" i="4"/>
  <c r="J152" i="4"/>
  <c r="J154" i="4" s="1"/>
  <c r="J155" i="4" s="1"/>
  <c r="J207" i="4"/>
  <c r="J139" i="4"/>
  <c r="J143" i="4"/>
  <c r="I78" i="2"/>
  <c r="F16" i="8"/>
  <c r="I38" i="2"/>
  <c r="H33" i="2"/>
  <c r="J8" i="2"/>
  <c r="I36" i="2"/>
  <c r="I119" i="4"/>
  <c r="I28" i="2"/>
  <c r="I107" i="4"/>
  <c r="I27" i="2"/>
  <c r="H37" i="2"/>
  <c r="H39" i="2"/>
  <c r="I14" i="2"/>
  <c r="J114" i="4"/>
  <c r="J115" i="4" s="1"/>
  <c r="J91" i="4"/>
  <c r="H129" i="4"/>
  <c r="H123" i="4"/>
  <c r="I40" i="4"/>
  <c r="I121" i="4" s="1"/>
  <c r="I41" i="4"/>
  <c r="I24" i="2" s="1"/>
  <c r="K38" i="3"/>
  <c r="K46" i="3" s="1"/>
  <c r="H226" i="4" l="1"/>
  <c r="I219" i="4"/>
  <c r="I220" i="4" s="1"/>
  <c r="I165" i="4"/>
  <c r="I171" i="4" s="1"/>
  <c r="I172" i="4" s="1"/>
  <c r="I211" i="4"/>
  <c r="I192" i="4"/>
  <c r="I194" i="4" s="1"/>
  <c r="I195" i="4" s="1"/>
  <c r="E7" i="8"/>
  <c r="H231" i="4"/>
  <c r="J182" i="4"/>
  <c r="J183" i="4" s="1"/>
  <c r="G5" i="8"/>
  <c r="J17" i="6"/>
  <c r="J11" i="6"/>
  <c r="J63" i="4"/>
  <c r="J84" i="4"/>
  <c r="J30" i="4"/>
  <c r="H41" i="2"/>
  <c r="J94" i="4"/>
  <c r="J106" i="4" s="1"/>
  <c r="J37" i="4"/>
  <c r="J38" i="4" s="1"/>
  <c r="I42" i="4"/>
  <c r="I122" i="4"/>
  <c r="I127" i="4" s="1"/>
  <c r="I30" i="2" s="1"/>
  <c r="I32" i="2" s="1"/>
  <c r="H130" i="4"/>
  <c r="J117" i="4"/>
  <c r="J118" i="4"/>
  <c r="E8" i="8"/>
  <c r="K51" i="3"/>
  <c r="K123" i="3" s="1"/>
  <c r="L32" i="3"/>
  <c r="K42" i="3"/>
  <c r="K135" i="4" s="1"/>
  <c r="K137" i="4" s="1"/>
  <c r="K138" i="4" s="1"/>
  <c r="K142" i="4" s="1"/>
  <c r="J93" i="4"/>
  <c r="J105" i="4" s="1"/>
  <c r="H232" i="4" l="1"/>
  <c r="H243" i="4"/>
  <c r="K13" i="2"/>
  <c r="K20" i="2" s="1"/>
  <c r="K180" i="4"/>
  <c r="K223" i="4"/>
  <c r="K176" i="4"/>
  <c r="K152" i="4"/>
  <c r="K154" i="4" s="1"/>
  <c r="K155" i="4" s="1"/>
  <c r="K215" i="4"/>
  <c r="K188" i="4"/>
  <c r="K139" i="4"/>
  <c r="K207" i="4"/>
  <c r="K143" i="4"/>
  <c r="I225" i="4"/>
  <c r="J78" i="2"/>
  <c r="G16" i="8"/>
  <c r="J77" i="2"/>
  <c r="G15" i="8"/>
  <c r="J38" i="2"/>
  <c r="I33" i="2"/>
  <c r="K8" i="2"/>
  <c r="H43" i="2"/>
  <c r="H46" i="2" s="1"/>
  <c r="J36" i="2"/>
  <c r="J119" i="4"/>
  <c r="J28" i="2"/>
  <c r="J107" i="4"/>
  <c r="J27" i="2"/>
  <c r="I39" i="2"/>
  <c r="I37" i="2"/>
  <c r="H36" i="6"/>
  <c r="E17" i="8" s="1"/>
  <c r="I129" i="4"/>
  <c r="I123" i="4"/>
  <c r="K91" i="4"/>
  <c r="K114" i="4"/>
  <c r="K115" i="4" s="1"/>
  <c r="J40" i="4"/>
  <c r="J121" i="4" s="1"/>
  <c r="J41" i="4"/>
  <c r="J24" i="2" s="1"/>
  <c r="J14" i="2"/>
  <c r="L38" i="3"/>
  <c r="L46" i="3" s="1"/>
  <c r="K182" i="4" l="1"/>
  <c r="K183" i="4" s="1"/>
  <c r="I226" i="4"/>
  <c r="I228" i="4"/>
  <c r="I229" i="4" s="1"/>
  <c r="J219" i="4"/>
  <c r="J220" i="4" s="1"/>
  <c r="J211" i="4"/>
  <c r="J165" i="4"/>
  <c r="J171" i="4" s="1"/>
  <c r="J172" i="4" s="1"/>
  <c r="J192" i="4"/>
  <c r="J194" i="4" s="1"/>
  <c r="J195" i="4" s="1"/>
  <c r="F7" i="8"/>
  <c r="H244" i="4"/>
  <c r="H247" i="4"/>
  <c r="H248" i="4" s="1"/>
  <c r="H250" i="4" s="1"/>
  <c r="H251" i="4" s="1"/>
  <c r="K17" i="6"/>
  <c r="H5" i="8"/>
  <c r="H44" i="2"/>
  <c r="K30" i="4"/>
  <c r="K11" i="6"/>
  <c r="H15" i="8" s="1"/>
  <c r="K84" i="4"/>
  <c r="K63" i="4"/>
  <c r="H79" i="2"/>
  <c r="I41" i="2"/>
  <c r="H53" i="2"/>
  <c r="H47" i="2"/>
  <c r="K94" i="4"/>
  <c r="K106" i="4" s="1"/>
  <c r="K37" i="4"/>
  <c r="K38" i="4" s="1"/>
  <c r="L51" i="3"/>
  <c r="L123" i="3" s="1"/>
  <c r="L42" i="3"/>
  <c r="L135" i="4" s="1"/>
  <c r="L137" i="4" s="1"/>
  <c r="L138" i="4" s="1"/>
  <c r="L142" i="4" s="1"/>
  <c r="K117" i="4"/>
  <c r="K118" i="4"/>
  <c r="J42" i="4"/>
  <c r="J122" i="4"/>
  <c r="J127" i="4" s="1"/>
  <c r="J30" i="2" s="1"/>
  <c r="J32" i="2" s="1"/>
  <c r="I130" i="4"/>
  <c r="K93" i="4"/>
  <c r="K105" i="4" s="1"/>
  <c r="K38" i="2" l="1"/>
  <c r="F8" i="8"/>
  <c r="I231" i="4"/>
  <c r="J225" i="4"/>
  <c r="L13" i="2"/>
  <c r="L20" i="2" s="1"/>
  <c r="L215" i="4"/>
  <c r="L180" i="4"/>
  <c r="L176" i="4"/>
  <c r="L223" i="4"/>
  <c r="L152" i="4"/>
  <c r="L154" i="4" s="1"/>
  <c r="L155" i="4" s="1"/>
  <c r="L188" i="4"/>
  <c r="L139" i="4"/>
  <c r="L207" i="4"/>
  <c r="L143" i="4"/>
  <c r="H253" i="4"/>
  <c r="H254" i="4" s="1"/>
  <c r="K78" i="2"/>
  <c r="H16" i="8"/>
  <c r="K77" i="2"/>
  <c r="J33" i="2"/>
  <c r="L8" i="2"/>
  <c r="I43" i="2"/>
  <c r="I46" i="2" s="1"/>
  <c r="K36" i="2"/>
  <c r="K119" i="4"/>
  <c r="K28" i="2"/>
  <c r="K107" i="4"/>
  <c r="K27" i="2"/>
  <c r="J37" i="2"/>
  <c r="J39" i="2"/>
  <c r="H60" i="2"/>
  <c r="H54" i="2"/>
  <c r="I36" i="6"/>
  <c r="F17" i="8" s="1"/>
  <c r="K14" i="2"/>
  <c r="K41" i="4"/>
  <c r="K24" i="2" s="1"/>
  <c r="K40" i="4"/>
  <c r="K121" i="4" s="1"/>
  <c r="L91" i="4"/>
  <c r="L114" i="4"/>
  <c r="L115" i="4" s="1"/>
  <c r="J129" i="4"/>
  <c r="J123" i="4"/>
  <c r="G7" i="8" l="1"/>
  <c r="K219" i="4"/>
  <c r="K220" i="4" s="1"/>
  <c r="K165" i="4"/>
  <c r="K171" i="4" s="1"/>
  <c r="K172" i="4" s="1"/>
  <c r="K211" i="4"/>
  <c r="K192" i="4"/>
  <c r="K194" i="4" s="1"/>
  <c r="K195" i="4" s="1"/>
  <c r="L182" i="4"/>
  <c r="L183" i="4" s="1"/>
  <c r="J228" i="4"/>
  <c r="J229" i="4" s="1"/>
  <c r="J226" i="4"/>
  <c r="I232" i="4"/>
  <c r="I243" i="4"/>
  <c r="L11" i="6"/>
  <c r="I15" i="8" s="1"/>
  <c r="I5" i="8"/>
  <c r="L17" i="6"/>
  <c r="L30" i="4"/>
  <c r="L63" i="4"/>
  <c r="L84" i="4"/>
  <c r="I44" i="2"/>
  <c r="I79" i="2"/>
  <c r="J41" i="2"/>
  <c r="I47" i="2"/>
  <c r="I53" i="2"/>
  <c r="H64" i="2"/>
  <c r="H65" i="2" s="1"/>
  <c r="H61" i="2"/>
  <c r="L94" i="4"/>
  <c r="L106" i="4" s="1"/>
  <c r="L37" i="4"/>
  <c r="L38" i="4" s="1"/>
  <c r="J130" i="4"/>
  <c r="L93" i="4"/>
  <c r="L105" i="4" s="1"/>
  <c r="L117" i="4"/>
  <c r="L118" i="4"/>
  <c r="K42" i="4"/>
  <c r="K122" i="4"/>
  <c r="K127" i="4" s="1"/>
  <c r="K30" i="2" s="1"/>
  <c r="K32" i="2" s="1"/>
  <c r="J231" i="4" l="1"/>
  <c r="G8" i="8"/>
  <c r="K225" i="4"/>
  <c r="I244" i="4"/>
  <c r="I247" i="4"/>
  <c r="I248" i="4" s="1"/>
  <c r="I250" i="4" s="1"/>
  <c r="I251" i="4" s="1"/>
  <c r="L77" i="2"/>
  <c r="I16" i="8"/>
  <c r="L78" i="2"/>
  <c r="L38" i="2"/>
  <c r="K33" i="2"/>
  <c r="J43" i="2"/>
  <c r="J44" i="2" s="1"/>
  <c r="H67" i="2"/>
  <c r="H75" i="2" s="1"/>
  <c r="H80" i="2" s="1"/>
  <c r="L36" i="2"/>
  <c r="L119" i="4"/>
  <c r="L28" i="2"/>
  <c r="L107" i="4"/>
  <c r="L27" i="2"/>
  <c r="K39" i="2"/>
  <c r="K37" i="2"/>
  <c r="I54" i="2"/>
  <c r="I60" i="2"/>
  <c r="J36" i="6"/>
  <c r="G17" i="8" s="1"/>
  <c r="L40" i="4"/>
  <c r="L121" i="4" s="1"/>
  <c r="L41" i="4"/>
  <c r="L24" i="2" s="1"/>
  <c r="L14" i="2"/>
  <c r="K123" i="4"/>
  <c r="K129" i="4"/>
  <c r="I253" i="4" l="1"/>
  <c r="I254" i="4" s="1"/>
  <c r="K228" i="4"/>
  <c r="K229" i="4" s="1"/>
  <c r="K226" i="4"/>
  <c r="H7" i="8"/>
  <c r="L165" i="4"/>
  <c r="L171" i="4" s="1"/>
  <c r="L172" i="4" s="1"/>
  <c r="L219" i="4"/>
  <c r="L220" i="4" s="1"/>
  <c r="L211" i="4"/>
  <c r="L192" i="4"/>
  <c r="L194" i="4" s="1"/>
  <c r="L195" i="4" s="1"/>
  <c r="J232" i="4"/>
  <c r="J243" i="4"/>
  <c r="J46" i="2"/>
  <c r="J47" i="2" s="1"/>
  <c r="H68" i="2"/>
  <c r="J79" i="2"/>
  <c r="I64" i="2"/>
  <c r="I65" i="2" s="1"/>
  <c r="K41" i="2"/>
  <c r="I61" i="2"/>
  <c r="H92" i="2"/>
  <c r="H96" i="2" s="1"/>
  <c r="H97" i="2" s="1"/>
  <c r="K130" i="4"/>
  <c r="L42" i="4"/>
  <c r="L122" i="4"/>
  <c r="L127" i="4" s="1"/>
  <c r="L30" i="2" s="1"/>
  <c r="L32" i="2" s="1"/>
  <c r="H8" i="8" l="1"/>
  <c r="K231" i="4"/>
  <c r="K232" i="4" s="1"/>
  <c r="L225" i="4"/>
  <c r="L226" i="4" s="1"/>
  <c r="J244" i="4"/>
  <c r="J247" i="4"/>
  <c r="J248" i="4" s="1"/>
  <c r="J250" i="4" s="1"/>
  <c r="J251" i="4" s="1"/>
  <c r="J53" i="2"/>
  <c r="J54" i="2" s="1"/>
  <c r="L33" i="2"/>
  <c r="K43" i="2"/>
  <c r="K44" i="2" s="1"/>
  <c r="I67" i="2"/>
  <c r="I68" i="2" s="1"/>
  <c r="L37" i="2"/>
  <c r="L39" i="2"/>
  <c r="I95" i="2"/>
  <c r="K36" i="6"/>
  <c r="H17" i="8" s="1"/>
  <c r="L123" i="4"/>
  <c r="L129" i="4"/>
  <c r="K243" i="4" l="1"/>
  <c r="K247" i="4" s="1"/>
  <c r="K248" i="4" s="1"/>
  <c r="K250" i="4" s="1"/>
  <c r="K251" i="4" s="1"/>
  <c r="L228" i="4"/>
  <c r="L229" i="4" s="1"/>
  <c r="J253" i="4"/>
  <c r="J254" i="4" s="1"/>
  <c r="I7" i="8"/>
  <c r="J60" i="2"/>
  <c r="J61" i="2" s="1"/>
  <c r="K46" i="2"/>
  <c r="K47" i="2" s="1"/>
  <c r="I75" i="2"/>
  <c r="I80" i="2" s="1"/>
  <c r="I92" i="2" s="1"/>
  <c r="I96" i="2" s="1"/>
  <c r="I97" i="2" s="1"/>
  <c r="K79" i="2"/>
  <c r="L41" i="2"/>
  <c r="J64" i="2"/>
  <c r="J65" i="2" s="1"/>
  <c r="L130" i="4"/>
  <c r="K244" i="4" l="1"/>
  <c r="L231" i="4"/>
  <c r="L232" i="4" s="1"/>
  <c r="I8" i="8"/>
  <c r="K253" i="4"/>
  <c r="K254" i="4" s="1"/>
  <c r="K53" i="2"/>
  <c r="K60" i="2" s="1"/>
  <c r="L43" i="2"/>
  <c r="L44" i="2" s="1"/>
  <c r="J67" i="2"/>
  <c r="J68" i="2" s="1"/>
  <c r="J95" i="2"/>
  <c r="L36" i="6"/>
  <c r="I17" i="8" s="1"/>
  <c r="L243" i="4" l="1"/>
  <c r="L244" i="4" s="1"/>
  <c r="K54" i="2"/>
  <c r="L46" i="2"/>
  <c r="L53" i="2" s="1"/>
  <c r="J75" i="2"/>
  <c r="J80" i="2" s="1"/>
  <c r="J92" i="2" s="1"/>
  <c r="J96" i="2" s="1"/>
  <c r="J97" i="2" s="1"/>
  <c r="K95" i="2" s="1"/>
  <c r="L79" i="2"/>
  <c r="K61" i="2"/>
  <c r="K64" i="2"/>
  <c r="K65" i="2" s="1"/>
  <c r="L247" i="4" l="1"/>
  <c r="L248" i="4" s="1"/>
  <c r="L250" i="4" s="1"/>
  <c r="L251" i="4" s="1"/>
  <c r="L47" i="2"/>
  <c r="K67" i="2"/>
  <c r="K68" i="2" s="1"/>
  <c r="L60" i="2"/>
  <c r="L54" i="2"/>
  <c r="L253" i="4" l="1"/>
  <c r="L254" i="4" s="1"/>
  <c r="K75" i="2"/>
  <c r="K80" i="2" s="1"/>
  <c r="K92" i="2" s="1"/>
  <c r="K96" i="2" s="1"/>
  <c r="K97" i="2" s="1"/>
  <c r="L95" i="2" s="1"/>
  <c r="L61" i="2"/>
  <c r="L64" i="2"/>
  <c r="L65" i="2" s="1"/>
  <c r="L67" i="2" l="1"/>
  <c r="L68" i="2" s="1"/>
  <c r="L75" i="2" l="1"/>
  <c r="L80" i="2" s="1"/>
  <c r="L92" i="2" s="1"/>
  <c r="L96" i="2" s="1"/>
  <c r="L9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M176" authorId="0" shapeId="0" xr:uid="{14CFAB96-6FAF-2B4C-8C27-41149A6EA49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Pagamenti PayPal 91702 (comm. 3,4%)
</t>
        </r>
        <r>
          <rPr>
            <sz val="10"/>
            <color rgb="FF000000"/>
            <rFont val="Tahoma"/>
            <family val="2"/>
          </rPr>
          <t xml:space="preserve">Pagamenti stripe </t>
        </r>
        <r>
          <rPr>
            <sz val="10"/>
            <color rgb="FF000000"/>
            <rFont val="Calibri"/>
            <family val="2"/>
          </rPr>
          <t xml:space="preserve">236.919,81 (comm. 1,4%)
</t>
        </r>
        <r>
          <rPr>
            <sz val="10"/>
            <color rgb="FF000000"/>
            <rFont val="Calibri"/>
            <family val="2"/>
          </rPr>
          <t>419.731,18</t>
        </r>
      </text>
    </comment>
  </commentList>
</comments>
</file>

<file path=xl/sharedStrings.xml><?xml version="1.0" encoding="utf-8"?>
<sst xmlns="http://schemas.openxmlformats.org/spreadsheetml/2006/main" count="422" uniqueCount="271">
  <si>
    <t>Sheet #</t>
  </si>
  <si>
    <t>Sheet Name</t>
  </si>
  <si>
    <t>Description of Sheet function</t>
  </si>
  <si>
    <t>Introduction</t>
  </si>
  <si>
    <t>This introduction page introducing Equidam and the approaches taken in this model.</t>
  </si>
  <si>
    <r>
      <rPr>
        <i/>
        <u/>
        <sz val="12"/>
        <color indexed="15"/>
        <rFont val="Arial"/>
        <family val="2"/>
      </rPr>
      <t>P&amp;L &amp; BS</t>
    </r>
  </si>
  <si>
    <t>The company's Profit and Loss and Balance Sheet statements for the forecasted 5 years</t>
  </si>
  <si>
    <r>
      <rPr>
        <i/>
        <u/>
        <sz val="12"/>
        <color indexed="15"/>
        <rFont val="Arial"/>
        <family val="2"/>
      </rPr>
      <t>Revenues</t>
    </r>
  </si>
  <si>
    <t>Assumptions on revenue for each business quadrant</t>
  </si>
  <si>
    <r>
      <rPr>
        <i/>
        <u/>
        <sz val="12"/>
        <color indexed="15"/>
        <rFont val="Arial"/>
        <family val="2"/>
      </rPr>
      <t>Costs</t>
    </r>
  </si>
  <si>
    <t>Assumptions on costs of the company</t>
  </si>
  <si>
    <r>
      <rPr>
        <i/>
        <u/>
        <sz val="12"/>
        <color indexed="15"/>
        <rFont val="Arial"/>
        <family val="2"/>
      </rPr>
      <t>BS CF</t>
    </r>
  </si>
  <si>
    <t>Assumption on balance sheet and cash flows</t>
  </si>
  <si>
    <r>
      <rPr>
        <i/>
        <u/>
        <sz val="12"/>
        <color indexed="15"/>
        <rFont val="Arial"/>
        <family val="2"/>
      </rPr>
      <t>Equidam Financials Input</t>
    </r>
  </si>
  <si>
    <t>Information organised to perform the valuation of the company on Equidam's online valuation platform</t>
  </si>
  <si>
    <t>Monthly</t>
  </si>
  <si>
    <t>Quarterly</t>
  </si>
  <si>
    <t>Yearly</t>
  </si>
  <si>
    <t>n.a.</t>
  </si>
  <si>
    <r>
      <rPr>
        <i/>
        <u/>
        <sz val="11"/>
        <color indexed="18"/>
        <rFont val="Arial"/>
        <family val="2"/>
      </rPr>
      <t>Return to Introduction Page</t>
    </r>
  </si>
  <si>
    <r>
      <rPr>
        <i/>
        <sz val="12"/>
        <color indexed="8"/>
        <rFont val="Calibri"/>
        <family val="2"/>
      </rPr>
      <t>tip</t>
    </r>
    <r>
      <rPr>
        <sz val="12"/>
        <color indexed="8"/>
        <rFont val="Calibri"/>
        <family val="2"/>
      </rPr>
      <t xml:space="preserve">: don't edit any of the information below, it is an overview of the </t>
    </r>
    <r>
      <rPr>
        <b/>
        <sz val="12"/>
        <color indexed="8"/>
        <rFont val="Calibri"/>
        <family val="2"/>
      </rPr>
      <t>results</t>
    </r>
    <r>
      <rPr>
        <sz val="12"/>
        <color indexed="8"/>
        <rFont val="Calibri"/>
        <family val="2"/>
      </rPr>
      <t xml:space="preserve"> of the forecast.</t>
    </r>
  </si>
  <si>
    <t>Past Year</t>
  </si>
  <si>
    <t>Year 1</t>
  </si>
  <si>
    <t>Year 2</t>
  </si>
  <si>
    <t>Year 3</t>
  </si>
  <si>
    <t>Year 4</t>
  </si>
  <si>
    <t>Year 5</t>
  </si>
  <si>
    <t>Projected Income Statement</t>
  </si>
  <si>
    <t>Revenue</t>
  </si>
  <si>
    <t>Total Revenue</t>
  </si>
  <si>
    <t>Growth</t>
  </si>
  <si>
    <t>Wage and Related</t>
  </si>
  <si>
    <t>As % of Revenue</t>
  </si>
  <si>
    <t>EBITDA</t>
  </si>
  <si>
    <t>D&amp;A</t>
  </si>
  <si>
    <t>EBIT</t>
  </si>
  <si>
    <t>Interest</t>
  </si>
  <si>
    <t>EBT</t>
  </si>
  <si>
    <t>Taxes</t>
  </si>
  <si>
    <t>Net Income</t>
  </si>
  <si>
    <t>Cash Flow Statement</t>
  </si>
  <si>
    <t>Operating Cash Flow</t>
  </si>
  <si>
    <t>(+) Net Income</t>
  </si>
  <si>
    <t>(+) Depreciation</t>
  </si>
  <si>
    <t>(-/+) Accounts Receivable Increase</t>
  </si>
  <si>
    <t>(+/-) Accounts Payable Increase</t>
  </si>
  <si>
    <t>Net Operating Cash Flow</t>
  </si>
  <si>
    <t>Capital Expenditures</t>
  </si>
  <si>
    <t>Financing Activities</t>
  </si>
  <si>
    <t>(+/-) Loans</t>
  </si>
  <si>
    <t>(+) Equity Contributions</t>
  </si>
  <si>
    <t>(-) Equity Distributions</t>
  </si>
  <si>
    <t>Net Financing Cash Flow</t>
  </si>
  <si>
    <t>Net Cash flow</t>
  </si>
  <si>
    <t>Available Cash</t>
  </si>
  <si>
    <t>Beginning Cash</t>
  </si>
  <si>
    <t>Ending Cash</t>
  </si>
  <si>
    <t>Assets</t>
  </si>
  <si>
    <t>Cash</t>
  </si>
  <si>
    <t>Intangible Assets</t>
  </si>
  <si>
    <t>Tangible Assets</t>
  </si>
  <si>
    <t>Tax assets</t>
  </si>
  <si>
    <t>Liabilities</t>
  </si>
  <si>
    <t>Equity</t>
  </si>
  <si>
    <t>Period</t>
  </si>
  <si>
    <t>Subscriptions</t>
  </si>
  <si>
    <t>Paid Advertising</t>
  </si>
  <si>
    <t>Budget growth</t>
  </si>
  <si>
    <t>Initial Budget</t>
  </si>
  <si>
    <t>Budget</t>
  </si>
  <si>
    <t>Avg CPC</t>
  </si>
  <si>
    <t>Clicks</t>
  </si>
  <si>
    <t>Organic traffic</t>
  </si>
  <si>
    <t>Amount Jul19 - Jun20</t>
  </si>
  <si>
    <t>Organic Traffic</t>
  </si>
  <si>
    <t>Total Number of New Visits</t>
  </si>
  <si>
    <t>New Subscribers</t>
  </si>
  <si>
    <t>Conversion rate to paid plans</t>
  </si>
  <si>
    <t>Product mix</t>
  </si>
  <si>
    <t>Percentages</t>
  </si>
  <si>
    <t xml:space="preserve"> </t>
  </si>
  <si>
    <t>Churned subscribers</t>
  </si>
  <si>
    <t>Annual churn rate</t>
  </si>
  <si>
    <t>Active subscribers</t>
  </si>
  <si>
    <t>All Plans</t>
  </si>
  <si>
    <t>Generated revenue</t>
  </si>
  <si>
    <t>Monthly price</t>
  </si>
  <si>
    <t>Year to date</t>
  </si>
  <si>
    <t>Contracts closed</t>
  </si>
  <si>
    <t>Yearly growth</t>
  </si>
  <si>
    <t>Churn Rate</t>
  </si>
  <si>
    <t>Churned</t>
  </si>
  <si>
    <t xml:space="preserve">Active contracts </t>
  </si>
  <si>
    <t>Average yearly price</t>
  </si>
  <si>
    <t>Executives</t>
  </si>
  <si>
    <t>CEO</t>
  </si>
  <si>
    <t>Year 1 Salary</t>
  </si>
  <si>
    <t>Year of Entry</t>
  </si>
  <si>
    <t>% Growth/Year</t>
  </si>
  <si>
    <t>Mid-Year Ratio Year 1</t>
  </si>
  <si>
    <t xml:space="preserve">   Position Count</t>
  </si>
  <si>
    <t>CTO</t>
  </si>
  <si>
    <t>Management</t>
  </si>
  <si>
    <t>Mid Management</t>
  </si>
  <si>
    <t>Salary Requirement</t>
  </si>
  <si>
    <t>Employees/Position Count</t>
  </si>
  <si>
    <t xml:space="preserve">   Staff Required</t>
  </si>
  <si>
    <t xml:space="preserve">   Staff Base Salary</t>
  </si>
  <si>
    <t>Technology development</t>
  </si>
  <si>
    <t>Product Development Manager</t>
  </si>
  <si>
    <t>Development Engineers</t>
  </si>
  <si>
    <t>New Subscribers Count</t>
  </si>
  <si>
    <t xml:space="preserve">   Supplemental Staff during Ramp-Up</t>
  </si>
  <si>
    <t xml:space="preserve">   Total Staff Including Supplemental</t>
  </si>
  <si>
    <t>Sales and marketing</t>
  </si>
  <si>
    <t>Sales manager</t>
  </si>
  <si>
    <t>Marketing Staff</t>
  </si>
  <si>
    <t>Number of New Visit</t>
  </si>
  <si>
    <t xml:space="preserve">   Supplemental Staff</t>
  </si>
  <si>
    <t>Operations and customer support</t>
  </si>
  <si>
    <t>Customer Support Staff</t>
  </si>
  <si>
    <r>
      <rPr>
        <i/>
        <sz val="12"/>
        <color indexed="20"/>
        <rFont val="Calibri"/>
        <family val="2"/>
      </rPr>
      <t>Active Subscribers</t>
    </r>
    <r>
      <rPr>
        <sz val="12"/>
        <color indexed="20"/>
        <rFont val="Calibri"/>
        <family val="2"/>
      </rPr>
      <t xml:space="preserve"> Count</t>
    </r>
  </si>
  <si>
    <t>Customer Onboarding Staff</t>
  </si>
  <si>
    <t>Finance and administration</t>
  </si>
  <si>
    <t>Accounting/Administrative Staff</t>
  </si>
  <si>
    <t>Other personnel expenses</t>
  </si>
  <si>
    <t>% of salaries</t>
  </si>
  <si>
    <t>Social security</t>
  </si>
  <si>
    <t>Selling, General &amp; Administrative Expenses</t>
  </si>
  <si>
    <t>Advertising and promotion</t>
  </si>
  <si>
    <t>Total Paid Advertising</t>
  </si>
  <si>
    <t>Other Marketing - Events &amp; Radio &amp; TV</t>
  </si>
  <si>
    <t>% of sales</t>
  </si>
  <si>
    <t>Technology platform</t>
  </si>
  <si>
    <t>Servers &amp; Software</t>
  </si>
  <si>
    <t>Computer Equipment</t>
  </si>
  <si>
    <t>Third Party Development</t>
  </si>
  <si>
    <t>Supplemental first year</t>
  </si>
  <si>
    <t>Banking and insurance</t>
  </si>
  <si>
    <t>Payment Processing Costs</t>
  </si>
  <si>
    <t>Bank Charges</t>
  </si>
  <si>
    <t>Baseline Required</t>
  </si>
  <si>
    <t>Additional as % of revenue</t>
  </si>
  <si>
    <t>Professional services</t>
  </si>
  <si>
    <t>Legal Services</t>
  </si>
  <si>
    <t>Accounting Services</t>
  </si>
  <si>
    <t>Facilities and infrastructure</t>
  </si>
  <si>
    <t>Rent &amp; Office</t>
  </si>
  <si>
    <t>Annual/employee</t>
  </si>
  <si>
    <t>Utilities, Telephone &amp; Internet</t>
  </si>
  <si>
    <t>General and administrative</t>
  </si>
  <si>
    <t>Supplies &amp; Consumables</t>
  </si>
  <si>
    <t>Travel &amp; Entertainment</t>
  </si>
  <si>
    <t>Annual/Executive</t>
  </si>
  <si>
    <t>Annual/Sales Staff</t>
  </si>
  <si>
    <t>Total Travel &amp; Entertainment</t>
  </si>
  <si>
    <t>Other G&amp;A</t>
  </si>
  <si>
    <t>Total Selling, General &amp; Administrative</t>
  </si>
  <si>
    <t>Total Expenses</t>
  </si>
  <si>
    <t>Depreciations</t>
  </si>
  <si>
    <t>Average years</t>
  </si>
  <si>
    <t>Annual Interest</t>
  </si>
  <si>
    <t>Total Interest</t>
  </si>
  <si>
    <t>Income Tax</t>
  </si>
  <si>
    <t>Income Tax Rate</t>
  </si>
  <si>
    <t>Accrued Tax</t>
  </si>
  <si>
    <t>Accounts Receivables</t>
  </si>
  <si>
    <t>Starting Amount</t>
  </si>
  <si>
    <t># Days Revenue</t>
  </si>
  <si>
    <t>Residual Amount</t>
  </si>
  <si>
    <t>Starting amount</t>
  </si>
  <si>
    <t>Accounts Payables</t>
  </si>
  <si>
    <t># Days Expenses</t>
  </si>
  <si>
    <t>Long term liabilities</t>
  </si>
  <si>
    <t>Loan 1</t>
  </si>
  <si>
    <t>Payback percentage</t>
  </si>
  <si>
    <t>Payable</t>
  </si>
  <si>
    <t>Loan payable</t>
  </si>
  <si>
    <t>Equity fundraising</t>
  </si>
  <si>
    <t xml:space="preserve">Fundraising </t>
  </si>
  <si>
    <t>Distributions</t>
  </si>
  <si>
    <t>Net Equitiy CF</t>
  </si>
  <si>
    <t>Capital expenditures</t>
  </si>
  <si>
    <t>Total Capital Expenditures</t>
  </si>
  <si>
    <t>Costs of Goods Sold</t>
  </si>
  <si>
    <t>Salaries</t>
  </si>
  <si>
    <t>Total Depreciation &amp; Amortization</t>
  </si>
  <si>
    <t>Receivables</t>
  </si>
  <si>
    <t>Inventory</t>
  </si>
  <si>
    <t>Payables</t>
  </si>
  <si>
    <t>Debt</t>
  </si>
  <si>
    <t>Fundraising Plan</t>
  </si>
  <si>
    <t>Cash and Cash Equivalents</t>
  </si>
  <si>
    <t>Financial Assets</t>
  </si>
  <si>
    <t>Deferred Tax Assets</t>
  </si>
  <si>
    <t>Short-term Liabilities</t>
  </si>
  <si>
    <t>Long-term Liabilities</t>
  </si>
  <si>
    <t>Visits</t>
  </si>
  <si>
    <t>Cost per Visit</t>
  </si>
  <si>
    <t>Budget per employee</t>
  </si>
  <si>
    <t>Active Subscribers Count</t>
  </si>
  <si>
    <t>Additional for Maintentance</t>
  </si>
  <si>
    <t>Additional per empoyee</t>
  </si>
  <si>
    <t>Current office</t>
  </si>
  <si>
    <t>Next office</t>
  </si>
  <si>
    <t>Annual Istat Increase</t>
  </si>
  <si>
    <t>Increase</t>
  </si>
  <si>
    <t>As % of revenue</t>
  </si>
  <si>
    <t>Partner Program</t>
  </si>
  <si>
    <t>`</t>
  </si>
  <si>
    <t>Baseline Required as % of revenue</t>
  </si>
  <si>
    <t>Depreciations of Tangible Assets</t>
  </si>
  <si>
    <t>Amortisation of Intangible Assets</t>
  </si>
  <si>
    <t>Outstanding amount</t>
  </si>
  <si>
    <t>Organic growth</t>
  </si>
  <si>
    <t>Earnings Before Taxes</t>
  </si>
  <si>
    <t>A</t>
  </si>
  <si>
    <t>B</t>
  </si>
  <si>
    <t>C</t>
  </si>
  <si>
    <t>D</t>
  </si>
  <si>
    <t>As of [Date]</t>
  </si>
  <si>
    <t>Large Contracts</t>
  </si>
  <si>
    <t>Company Name</t>
  </si>
  <si>
    <t>Start date of the projections</t>
  </si>
  <si>
    <t>Unicorn Inc.</t>
  </si>
  <si>
    <t>Unicorn Inc. Balance Sheet Assumptions</t>
  </si>
  <si>
    <t>Amount prev year</t>
  </si>
  <si>
    <t>CONTENTS:</t>
  </si>
  <si>
    <t>This fully modifiable template is provided by Equidam, however is not reviewed or checked in any way. To find out more about us visit: www.equidam.com. For any questions: info@equidam.com</t>
  </si>
  <si>
    <t>Other Operating Expenses</t>
  </si>
  <si>
    <t>Comments</t>
  </si>
  <si>
    <t>Current or Previous Year</t>
  </si>
  <si>
    <t>Aggregate Financials For input in Equidam</t>
  </si>
  <si>
    <t>equidam.com</t>
  </si>
  <si>
    <t>Return to Introduction Page</t>
  </si>
  <si>
    <t>Starting Deferred Tax assets</t>
  </si>
  <si>
    <t>% of Revenue</t>
  </si>
  <si>
    <t>(-/+) Inventory Increase</t>
  </si>
  <si>
    <t>Social Security</t>
  </si>
  <si>
    <t>Previous 12 months</t>
  </si>
  <si>
    <t>Large Recurring Contracts</t>
  </si>
  <si>
    <t>E-commerce Sales</t>
  </si>
  <si>
    <t>Outbound Sales</t>
  </si>
  <si>
    <t>New customers</t>
  </si>
  <si>
    <t>Returning customers</t>
  </si>
  <si>
    <t>Percentage of returning customers</t>
  </si>
  <si>
    <t>New Customers</t>
  </si>
  <si>
    <t>Previous year customers</t>
  </si>
  <si>
    <t>Conversion rate</t>
  </si>
  <si>
    <t>Returning Customers</t>
  </si>
  <si>
    <t>Total Customers</t>
  </si>
  <si>
    <t>Average order value</t>
  </si>
  <si>
    <t>Number of sales agents</t>
  </si>
  <si>
    <t>Outbound reach</t>
  </si>
  <si>
    <t>New prospects reached</t>
  </si>
  <si>
    <t>per week</t>
  </si>
  <si>
    <t>Total new conversations started</t>
  </si>
  <si>
    <t>Contracts</t>
  </si>
  <si>
    <t>New contracts</t>
  </si>
  <si>
    <t>Yearly Price Increase</t>
  </si>
  <si>
    <t>Cost of goods sold</t>
  </si>
  <si>
    <t>SG&amp;A and others</t>
  </si>
  <si>
    <t>Cost of Goods Sold</t>
  </si>
  <si>
    <t>Variable costs</t>
  </si>
  <si>
    <t>Cost per customer served</t>
  </si>
  <si>
    <t>Total Cost per Customer Served</t>
  </si>
  <si>
    <t>Total Variable Costs</t>
  </si>
  <si>
    <t>Total Cost of Goods Sold</t>
  </si>
  <si>
    <r>
      <rPr>
        <i/>
        <sz val="11"/>
        <color rgb="FF5F5F5F"/>
        <rFont val="Arial"/>
        <family val="2"/>
      </rPr>
      <t>tip</t>
    </r>
    <r>
      <rPr>
        <sz val="11"/>
        <color rgb="FF5F5F5F"/>
        <rFont val="Arial"/>
        <family val="2"/>
      </rPr>
      <t>: simply upload this full  document to the Equidam platform to perform a valuation. Here is the link:</t>
    </r>
  </si>
  <si>
    <t>Chief Growth Officer</t>
  </si>
  <si>
    <t>%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</si>
</sst>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 * #,##0.00_ ;_ * \-#,##0.00_ ;_ * &quot;-&quot;??_ ;_ @_ "/>
    <numFmt numFmtId="164" formatCode="_-* #,##0.00_-;\-* #,##0.00_-;_-* &quot;-&quot;??_-;_-@_-"/>
    <numFmt numFmtId="165" formatCode="0.00&quot; &quot;;\(0.00\)"/>
    <numFmt numFmtId="166" formatCode="0.000&quot; &quot;;\(0.000\)"/>
    <numFmt numFmtId="167" formatCode="0&quot; &quot;;\(0\)"/>
    <numFmt numFmtId="168" formatCode="&quot; &quot;[$$-409]* #,##0.00&quot; &quot;;&quot; &quot;[$$-409]* &quot;-&quot;#,##0.00&quot; &quot;;&quot; &quot;[$$-409]* &quot;-&quot;??&quot; &quot;"/>
    <numFmt numFmtId="169" formatCode="&quot; €&quot;* #,##0.00&quot; &quot;;&quot;-€&quot;* #,##0.00&quot; &quot;;&quot; €&quot;* &quot;-&quot;??&quot; &quot;"/>
    <numFmt numFmtId="170" formatCode="0.0%"/>
    <numFmt numFmtId="171" formatCode="[$$-409]&quot; &quot;#,##0"/>
    <numFmt numFmtId="172" formatCode="h:mm:ss&quot; &quot;AM/PM"/>
    <numFmt numFmtId="173" formatCode="&quot; &quot;* #,##0.0&quot; &quot;;&quot; &quot;* \(#,##0.0\);&quot; &quot;* &quot;-&quot;??&quot; &quot;"/>
    <numFmt numFmtId="174" formatCode="0.0000%"/>
    <numFmt numFmtId="175" formatCode="&quot; &quot;* #,##0.00&quot; &quot;;&quot;-&quot;* #,##0.00&quot; &quot;;&quot; &quot;* &quot;-&quot;??&quot; &quot;"/>
    <numFmt numFmtId="176" formatCode="[$€-2]&quot; &quot;#,##0"/>
    <numFmt numFmtId="177" formatCode="0.0"/>
    <numFmt numFmtId="178" formatCode="[$-F800]dddd\,\ mmmm\ dd\,\ yyyy"/>
    <numFmt numFmtId="179" formatCode="0.00_);\(0.00\)"/>
    <numFmt numFmtId="180" formatCode="_([$$-409]* #,##0.00_);_([$$-409]* \(#,##0.00\);_([$$-409]* &quot;-&quot;??_);_(@_)"/>
    <numFmt numFmtId="181" formatCode="_-[$$-409]* #,##0.00_ ;_-[$$-409]* \-#,##0.00\ ;_-[$$-409]* &quot;-&quot;??_ ;_-@_ "/>
    <numFmt numFmtId="182" formatCode="_-* #,##0_-;\-* #,##0_-;_-* &quot;-&quot;_-;_-@_-"/>
    <numFmt numFmtId="183" formatCode="[$$]\ #,##0"/>
  </numFmts>
  <fonts count="79">
    <font>
      <sz val="12"/>
      <color indexed="8"/>
      <name val="Calibri"/>
    </font>
    <font>
      <sz val="12"/>
      <color theme="1"/>
      <name val="Helvetica Neue"/>
      <family val="2"/>
      <scheme val="minor"/>
    </font>
    <font>
      <sz val="10"/>
      <color indexed="8"/>
      <name val="Arial"/>
      <family val="2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b/>
      <sz val="18"/>
      <color indexed="13"/>
      <name val="Arial"/>
      <family val="2"/>
    </font>
    <font>
      <sz val="12"/>
      <color indexed="14"/>
      <name val="Arial"/>
      <family val="2"/>
    </font>
    <font>
      <sz val="12"/>
      <color indexed="8"/>
      <name val="Arial"/>
      <family val="2"/>
    </font>
    <font>
      <sz val="12"/>
      <color indexed="15"/>
      <name val="Arial"/>
      <family val="2"/>
    </font>
    <font>
      <i/>
      <sz val="11"/>
      <color indexed="16"/>
      <name val="SourceSansPro"/>
    </font>
    <font>
      <sz val="10"/>
      <color indexed="16"/>
      <name val="SourceSansPro"/>
    </font>
    <font>
      <b/>
      <sz val="14"/>
      <color indexed="13"/>
      <name val="Arial"/>
      <family val="2"/>
    </font>
    <font>
      <b/>
      <sz val="12"/>
      <color indexed="15"/>
      <name val="Arial"/>
      <family val="2"/>
    </font>
    <font>
      <i/>
      <u/>
      <sz val="12"/>
      <color indexed="15"/>
      <name val="Arial"/>
      <family val="2"/>
    </font>
    <font>
      <sz val="11"/>
      <color indexed="16"/>
      <name val="SourceSansPro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9"/>
      <name val="Calibri"/>
      <family val="2"/>
    </font>
    <font>
      <i/>
      <u/>
      <sz val="11"/>
      <color indexed="18"/>
      <name val="Arial"/>
      <family val="2"/>
    </font>
    <font>
      <i/>
      <sz val="12"/>
      <color indexed="8"/>
      <name val="Calibri"/>
      <family val="2"/>
    </font>
    <font>
      <b/>
      <sz val="22"/>
      <color indexed="19"/>
      <name val="Arial"/>
      <family val="2"/>
    </font>
    <font>
      <b/>
      <sz val="14"/>
      <color indexed="19"/>
      <name val="Arial"/>
      <family val="2"/>
    </font>
    <font>
      <sz val="11"/>
      <color indexed="8"/>
      <name val="Calibri"/>
      <family val="2"/>
    </font>
    <font>
      <b/>
      <sz val="16"/>
      <color indexed="19"/>
      <name val="Arial"/>
      <family val="2"/>
    </font>
    <font>
      <b/>
      <sz val="14"/>
      <color indexed="20"/>
      <name val="Calibri"/>
      <family val="2"/>
    </font>
    <font>
      <sz val="12"/>
      <color indexed="20"/>
      <name val="Arial"/>
      <family val="2"/>
    </font>
    <font>
      <b/>
      <sz val="12"/>
      <color indexed="20"/>
      <name val="Arial"/>
      <family val="2"/>
    </font>
    <font>
      <i/>
      <sz val="11"/>
      <color indexed="20"/>
      <name val="Arial"/>
      <family val="2"/>
    </font>
    <font>
      <sz val="12"/>
      <color indexed="21"/>
      <name val="Calibri"/>
      <family val="2"/>
    </font>
    <font>
      <b/>
      <sz val="12"/>
      <color indexed="18"/>
      <name val="Arial"/>
      <family val="2"/>
    </font>
    <font>
      <b/>
      <sz val="12"/>
      <color indexed="22"/>
      <name val="Arial"/>
      <family val="2"/>
    </font>
    <font>
      <i/>
      <sz val="12"/>
      <color indexed="20"/>
      <name val="Calibri"/>
      <family val="2"/>
    </font>
    <font>
      <i/>
      <sz val="10"/>
      <color indexed="20"/>
      <name val="Calibri"/>
      <family val="2"/>
    </font>
    <font>
      <i/>
      <sz val="11"/>
      <color indexed="8"/>
      <name val="Calibri"/>
      <family val="2"/>
    </font>
    <font>
      <i/>
      <sz val="10"/>
      <color indexed="15"/>
      <name val="Arial"/>
      <family val="2"/>
    </font>
    <font>
      <b/>
      <sz val="12"/>
      <color indexed="20"/>
      <name val="Calibri"/>
      <family val="2"/>
    </font>
    <font>
      <sz val="20"/>
      <color indexed="8"/>
      <name val="Arial"/>
      <family val="2"/>
    </font>
    <font>
      <sz val="18"/>
      <color indexed="24"/>
      <name val="Open Sans"/>
      <family val="2"/>
    </font>
    <font>
      <sz val="14"/>
      <color indexed="24"/>
      <name val="Open Sans"/>
      <family val="2"/>
    </font>
    <font>
      <sz val="12"/>
      <color indexed="20"/>
      <name val="Calibri"/>
      <family val="2"/>
    </font>
    <font>
      <sz val="11"/>
      <color indexed="19"/>
      <name val="Arial"/>
      <family val="2"/>
    </font>
    <font>
      <b/>
      <sz val="12"/>
      <color indexed="26"/>
      <name val="Calibri"/>
      <family val="2"/>
    </font>
    <font>
      <sz val="12"/>
      <color indexed="27"/>
      <name val="Calibri"/>
      <family val="2"/>
    </font>
    <font>
      <sz val="12"/>
      <color indexed="28"/>
      <name val="Calibri"/>
      <family val="2"/>
    </font>
    <font>
      <sz val="12"/>
      <color indexed="26"/>
      <name val="Calibri"/>
      <family val="2"/>
    </font>
    <font>
      <sz val="12"/>
      <color indexed="3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21"/>
      <name val="Calibri"/>
      <family val="2"/>
    </font>
    <font>
      <sz val="12"/>
      <color rgb="FFFF0000"/>
      <name val="Calibri"/>
      <family val="2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sz val="12"/>
      <color indexed="8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</font>
    <font>
      <i/>
      <sz val="12"/>
      <color indexed="15"/>
      <name val="Arial"/>
      <family val="2"/>
    </font>
    <font>
      <sz val="12"/>
      <color indexed="8"/>
      <name val="Calibri"/>
      <family val="2"/>
    </font>
    <font>
      <sz val="12"/>
      <color theme="1" tint="0.34998626667073579"/>
      <name val="Calibri"/>
      <family val="2"/>
    </font>
    <font>
      <sz val="12"/>
      <color theme="1" tint="0.34998626667073579"/>
      <name val="Arial"/>
      <family val="2"/>
    </font>
    <font>
      <sz val="11"/>
      <color rgb="FF0B2C44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1"/>
      <color rgb="FF006100"/>
      <name val="Arial"/>
      <family val="2"/>
    </font>
    <font>
      <b/>
      <sz val="12"/>
      <name val="Arial"/>
      <family val="2"/>
    </font>
    <font>
      <sz val="11"/>
      <color rgb="FF006100"/>
      <name val="Arial"/>
      <family val="2"/>
    </font>
    <font>
      <sz val="14"/>
      <color rgb="FF98D50E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25B2FC"/>
      <name val="Arial"/>
      <family val="2"/>
    </font>
    <font>
      <b/>
      <sz val="16"/>
      <color rgb="FF0B2C44"/>
      <name val="Arial"/>
      <family val="2"/>
    </font>
    <font>
      <i/>
      <u/>
      <sz val="11"/>
      <color rgb="FF25B2FC"/>
      <name val="Arial"/>
      <family val="2"/>
    </font>
    <font>
      <u/>
      <sz val="12"/>
      <color rgb="FF97D800"/>
      <name val="Arial"/>
      <family val="2"/>
    </font>
    <font>
      <b/>
      <u/>
      <sz val="12"/>
      <color rgb="FF97D800"/>
      <name val="Arial"/>
      <family val="2"/>
    </font>
    <font>
      <b/>
      <u/>
      <sz val="12"/>
      <color rgb="FF4BC3FF"/>
      <name val="Arial"/>
      <family val="2"/>
    </font>
    <font>
      <sz val="11"/>
      <color rgb="FF5F5F5F"/>
      <name val="Arial"/>
      <family val="2"/>
    </font>
    <font>
      <i/>
      <sz val="11"/>
      <color rgb="FF5F5F5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25"/>
        <bgColor auto="1"/>
      </patternFill>
    </fill>
    <fill>
      <patternFill patternType="solid">
        <fgColor rgb="FFCBFFF0"/>
        <b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18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2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 style="thin">
        <color indexed="12"/>
      </right>
      <top/>
      <bottom style="hair">
        <color indexed="17"/>
      </bottom>
      <diagonal/>
    </border>
    <border>
      <left style="thin">
        <color indexed="12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thin">
        <color indexed="12"/>
      </right>
      <top style="hair">
        <color indexed="17"/>
      </top>
      <bottom/>
      <diagonal/>
    </border>
    <border>
      <left style="thin">
        <color indexed="12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2"/>
      </right>
      <top/>
      <bottom style="thin">
        <color indexed="17"/>
      </bottom>
      <diagonal/>
    </border>
    <border>
      <left style="thin">
        <color indexed="12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2"/>
      </right>
      <top style="thin">
        <color indexed="17"/>
      </top>
      <bottom style="thin">
        <color indexed="17"/>
      </bottom>
      <diagonal/>
    </border>
    <border>
      <left style="thin">
        <color indexed="12"/>
      </left>
      <right style="thin">
        <color indexed="17"/>
      </right>
      <top style="thin">
        <color indexed="17"/>
      </top>
      <bottom style="thin">
        <color indexed="12"/>
      </bottom>
      <diagonal/>
    </border>
    <border>
      <left style="thin">
        <color indexed="17"/>
      </left>
      <right/>
      <top style="thin">
        <color indexed="17"/>
      </top>
      <bottom style="thin">
        <color indexed="12"/>
      </bottom>
      <diagonal/>
    </border>
    <border>
      <left/>
      <right/>
      <top style="thin">
        <color indexed="17"/>
      </top>
      <bottom style="thin">
        <color indexed="12"/>
      </bottom>
      <diagonal/>
    </border>
    <border>
      <left/>
      <right style="thin">
        <color indexed="17"/>
      </right>
      <top style="thin">
        <color indexed="17"/>
      </top>
      <bottom style="thin">
        <color indexed="12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2"/>
      </bottom>
      <diagonal/>
    </border>
    <border>
      <left style="thin">
        <color indexed="17"/>
      </left>
      <right style="thin">
        <color indexed="12"/>
      </right>
      <top style="thin">
        <color indexed="17"/>
      </top>
      <bottom style="thin">
        <color indexed="12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2"/>
      </right>
      <top style="thin">
        <color indexed="10"/>
      </top>
      <bottom/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7"/>
      </right>
      <top style="thin">
        <color indexed="12"/>
      </top>
      <bottom style="thin">
        <color indexed="12"/>
      </bottom>
      <diagonal/>
    </border>
    <border>
      <left style="hair">
        <color indexed="17"/>
      </left>
      <right style="hair">
        <color indexed="17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7"/>
      </right>
      <top style="thin">
        <color indexed="12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7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7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7"/>
      </bottom>
      <diagonal/>
    </border>
    <border>
      <left/>
      <right style="thin">
        <color indexed="12"/>
      </right>
      <top/>
      <bottom style="thin">
        <color indexed="17"/>
      </bottom>
      <diagonal/>
    </border>
    <border>
      <left style="thin">
        <color indexed="12"/>
      </left>
      <right style="thin">
        <color indexed="12"/>
      </right>
      <top/>
      <bottom style="thin">
        <color indexed="17"/>
      </bottom>
      <diagonal/>
    </border>
    <border>
      <left style="thin">
        <color indexed="12"/>
      </left>
      <right/>
      <top style="thin">
        <color indexed="17"/>
      </top>
      <bottom style="thin">
        <color indexed="8"/>
      </bottom>
      <diagonal/>
    </border>
    <border>
      <left/>
      <right/>
      <top style="thin">
        <color indexed="17"/>
      </top>
      <bottom style="thin">
        <color indexed="8"/>
      </bottom>
      <diagonal/>
    </border>
    <border>
      <left/>
      <right style="hair">
        <color indexed="17"/>
      </right>
      <top style="thin">
        <color indexed="17"/>
      </top>
      <bottom style="thin">
        <color indexed="8"/>
      </bottom>
      <diagonal/>
    </border>
    <border>
      <left style="hair">
        <color indexed="17"/>
      </left>
      <right style="thin">
        <color indexed="12"/>
      </right>
      <top style="thin">
        <color indexed="17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7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/>
      <right style="thin">
        <color indexed="12"/>
      </right>
      <top style="thin">
        <color indexed="17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12"/>
      </bottom>
      <diagonal/>
    </border>
    <border>
      <left/>
      <right/>
      <top style="thin">
        <color indexed="8"/>
      </top>
      <bottom style="thin">
        <color indexed="12"/>
      </bottom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23"/>
      </bottom>
      <diagonal/>
    </border>
    <border>
      <left style="thin">
        <color indexed="12"/>
      </left>
      <right style="thin">
        <color indexed="12"/>
      </right>
      <top style="thin">
        <color indexed="23"/>
      </top>
      <bottom/>
      <diagonal/>
    </border>
    <border>
      <left style="thin">
        <color indexed="12"/>
      </left>
      <right style="thin">
        <color indexed="17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2"/>
      </right>
      <top style="thin">
        <color indexed="17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7"/>
      </top>
      <bottom style="thin">
        <color indexed="17"/>
      </bottom>
      <diagonal/>
    </border>
    <border>
      <left/>
      <right style="thin">
        <color indexed="12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2"/>
      </left>
      <right style="thin">
        <color indexed="12"/>
      </right>
      <top style="thin">
        <color indexed="17"/>
      </top>
      <bottom/>
      <diagonal/>
    </border>
    <border>
      <left/>
      <right style="thin">
        <color indexed="12"/>
      </right>
      <top style="thin">
        <color indexed="17"/>
      </top>
      <bottom/>
      <diagonal/>
    </border>
    <border>
      <left style="thin">
        <color indexed="10"/>
      </left>
      <right style="hair">
        <color indexed="17"/>
      </right>
      <top/>
      <bottom/>
      <diagonal/>
    </border>
    <border>
      <left style="hair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/>
      <top/>
      <bottom/>
      <diagonal/>
    </border>
    <border>
      <left style="thin">
        <color indexed="10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2"/>
      </top>
      <bottom style="thin">
        <color indexed="17"/>
      </bottom>
      <diagonal/>
    </border>
    <border>
      <left style="thin">
        <color indexed="17"/>
      </left>
      <right style="thin">
        <color indexed="12"/>
      </right>
      <top style="thin">
        <color indexed="12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2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2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2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/>
      <top/>
      <bottom style="thin">
        <color indexed="8"/>
      </bottom>
      <diagonal/>
    </border>
    <border>
      <left/>
      <right style="thin">
        <color indexed="17"/>
      </right>
      <top/>
      <bottom style="thin">
        <color indexed="8"/>
      </bottom>
      <diagonal/>
    </border>
    <border>
      <left style="thin">
        <color indexed="17"/>
      </left>
      <right style="thin">
        <color indexed="12"/>
      </right>
      <top/>
      <bottom style="thin">
        <color indexed="8"/>
      </bottom>
      <diagonal/>
    </border>
    <border>
      <left/>
      <right style="thin">
        <color indexed="17"/>
      </right>
      <top style="thin">
        <color indexed="8"/>
      </top>
      <bottom/>
      <diagonal/>
    </border>
    <border>
      <left style="thin">
        <color indexed="17"/>
      </left>
      <right style="thin">
        <color indexed="12"/>
      </right>
      <top style="thin">
        <color indexed="8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29"/>
      </right>
      <top style="thin">
        <color indexed="17"/>
      </top>
      <bottom/>
      <diagonal/>
    </border>
    <border>
      <left style="thin">
        <color indexed="29"/>
      </left>
      <right style="thin">
        <color indexed="12"/>
      </right>
      <top style="thin">
        <color indexed="17"/>
      </top>
      <bottom/>
      <diagonal/>
    </border>
    <border>
      <left/>
      <right style="thin">
        <color indexed="29"/>
      </right>
      <top/>
      <bottom/>
      <diagonal/>
    </border>
    <border>
      <left style="thin">
        <color indexed="29"/>
      </left>
      <right style="thin">
        <color indexed="12"/>
      </right>
      <top/>
      <bottom/>
      <diagonal/>
    </border>
    <border>
      <left/>
      <right style="thin">
        <color indexed="29"/>
      </right>
      <top/>
      <bottom style="thin">
        <color indexed="8"/>
      </bottom>
      <diagonal/>
    </border>
    <border>
      <left style="thin">
        <color indexed="29"/>
      </left>
      <right style="thin">
        <color indexed="12"/>
      </right>
      <top/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29"/>
      </right>
      <top style="thin">
        <color indexed="8"/>
      </top>
      <bottom style="thin">
        <color indexed="8"/>
      </bottom>
      <diagonal/>
    </border>
    <border>
      <left style="thin">
        <color indexed="29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 style="thin">
        <color indexed="29"/>
      </right>
      <top style="thin">
        <color indexed="8"/>
      </top>
      <bottom/>
      <diagonal/>
    </border>
    <border>
      <left style="thin">
        <color indexed="29"/>
      </left>
      <right style="thin">
        <color indexed="12"/>
      </right>
      <top style="thin">
        <color indexed="8"/>
      </top>
      <bottom/>
      <diagonal/>
    </border>
    <border>
      <left style="thin">
        <color indexed="29"/>
      </left>
      <right style="thin">
        <color indexed="12"/>
      </right>
      <top/>
      <bottom style="thin">
        <color indexed="17"/>
      </bottom>
      <diagonal/>
    </border>
    <border>
      <left style="thin">
        <color indexed="29"/>
      </left>
      <right style="thin">
        <color indexed="29"/>
      </right>
      <top/>
      <bottom style="thin">
        <color indexed="17"/>
      </bottom>
      <diagonal/>
    </border>
    <border>
      <left style="thin">
        <color indexed="12"/>
      </left>
      <right style="thin">
        <color indexed="29"/>
      </right>
      <top/>
      <bottom style="thin">
        <color indexed="17"/>
      </bottom>
      <diagonal/>
    </border>
    <border>
      <left style="thin">
        <color indexed="29"/>
      </left>
      <right style="thin">
        <color indexed="29"/>
      </right>
      <top style="thin">
        <color indexed="8"/>
      </top>
      <bottom style="thin">
        <color indexed="8"/>
      </bottom>
      <diagonal/>
    </border>
    <border>
      <left style="thin">
        <color indexed="29"/>
      </left>
      <right style="thin">
        <color indexed="29"/>
      </right>
      <top/>
      <bottom/>
      <diagonal/>
    </border>
    <border>
      <left/>
      <right style="thin">
        <color indexed="29"/>
      </right>
      <top/>
      <bottom style="thin">
        <color indexed="17"/>
      </bottom>
      <diagonal/>
    </border>
    <border>
      <left/>
      <right style="thin">
        <color indexed="29"/>
      </right>
      <top style="thin">
        <color indexed="17"/>
      </top>
      <bottom style="thin">
        <color indexed="8"/>
      </bottom>
      <diagonal/>
    </border>
    <border>
      <left style="thin">
        <color indexed="29"/>
      </left>
      <right style="thin">
        <color indexed="12"/>
      </right>
      <top style="thin">
        <color indexed="17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29"/>
      </bottom>
      <diagonal/>
    </border>
    <border>
      <left/>
      <right/>
      <top style="thin">
        <color indexed="12"/>
      </top>
      <bottom style="thin">
        <color indexed="17"/>
      </bottom>
      <diagonal/>
    </border>
    <border>
      <left/>
      <right/>
      <top style="thin">
        <color indexed="29"/>
      </top>
      <bottom style="thin">
        <color indexed="12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9"/>
      </right>
      <top/>
      <bottom style="thin">
        <color indexed="23"/>
      </bottom>
      <diagonal/>
    </border>
    <border>
      <left style="thin">
        <color indexed="29"/>
      </left>
      <right style="thin">
        <color indexed="12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9"/>
      </right>
      <top style="thin">
        <color indexed="23"/>
      </top>
      <bottom/>
      <diagonal/>
    </border>
    <border>
      <left style="thin">
        <color indexed="29"/>
      </left>
      <right style="thin">
        <color indexed="12"/>
      </right>
      <top style="thin">
        <color indexed="23"/>
      </top>
      <bottom/>
      <diagonal/>
    </border>
    <border>
      <left style="thin">
        <color indexed="29"/>
      </left>
      <right/>
      <top style="thin">
        <color indexed="17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29"/>
      </bottom>
      <diagonal/>
    </border>
    <border>
      <left/>
      <right style="thin">
        <color indexed="12"/>
      </right>
      <top style="thin">
        <color indexed="8"/>
      </top>
      <bottom style="thin">
        <color indexed="29"/>
      </bottom>
      <diagonal/>
    </border>
    <border>
      <left/>
      <right style="thin">
        <color theme="0" tint="-0.14999847407452621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theme="0" tint="-0.14999847407452621"/>
      </right>
      <top style="thin">
        <color indexed="12"/>
      </top>
      <bottom/>
      <diagonal/>
    </border>
    <border>
      <left style="thin">
        <color indexed="12"/>
      </left>
      <right style="thin">
        <color theme="0" tint="-0.14999847407452621"/>
      </right>
      <top/>
      <bottom/>
      <diagonal/>
    </border>
    <border>
      <left style="thin">
        <color indexed="12"/>
      </left>
      <right style="thin">
        <color theme="0" tint="-0.14999847407452621"/>
      </right>
      <top/>
      <bottom style="thin">
        <color indexed="8"/>
      </bottom>
      <diagonal/>
    </border>
    <border>
      <left style="thin">
        <color indexed="12"/>
      </left>
      <right style="thin">
        <color theme="0" tint="-0.14999847407452621"/>
      </right>
      <top style="thin">
        <color indexed="8"/>
      </top>
      <bottom/>
      <diagonal/>
    </border>
    <border>
      <left style="thin">
        <color indexed="12"/>
      </left>
      <right style="thin">
        <color theme="0" tint="-0.14999847407452621"/>
      </right>
      <top/>
      <bottom style="thin">
        <color indexed="17"/>
      </bottom>
      <diagonal/>
    </border>
    <border>
      <left style="thin">
        <color indexed="12"/>
      </left>
      <right style="thin">
        <color theme="0" tint="-0.14999847407452621"/>
      </right>
      <top style="thin">
        <color indexed="17"/>
      </top>
      <bottom style="thin">
        <color indexed="17"/>
      </bottom>
      <diagonal/>
    </border>
    <border>
      <left style="thin">
        <color indexed="12"/>
      </left>
      <right style="thin">
        <color theme="0" tint="-0.14999847407452621"/>
      </right>
      <top style="thin">
        <color indexed="17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12"/>
      </top>
      <bottom style="thin">
        <color indexed="12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12"/>
      </left>
      <right style="thin">
        <color theme="0" tint="-0.14999847407452621"/>
      </right>
      <top style="thin">
        <color indexed="17"/>
      </top>
      <bottom style="thin">
        <color indexed="8"/>
      </bottom>
      <diagonal/>
    </border>
    <border>
      <left style="thin">
        <color indexed="12"/>
      </left>
      <right style="thin">
        <color theme="0" tint="-0.14999847407452621"/>
      </right>
      <top style="thin">
        <color indexed="8"/>
      </top>
      <bottom style="thin">
        <color indexed="1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2"/>
      </top>
      <bottom style="thin">
        <color indexed="17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8"/>
      </bottom>
      <diagonal/>
    </border>
    <border>
      <left/>
      <right style="thin">
        <color theme="0" tint="-0.14999847407452621"/>
      </right>
      <top style="thin">
        <color indexed="8"/>
      </top>
      <bottom/>
      <diagonal/>
    </border>
    <border>
      <left/>
      <right style="thin">
        <color theme="0" tint="-0.14999847407452621"/>
      </right>
      <top/>
      <bottom style="thin">
        <color indexed="17"/>
      </bottom>
      <diagonal/>
    </border>
    <border>
      <left/>
      <right style="thin">
        <color theme="0" tint="-0.14999847407452621"/>
      </right>
      <top style="thin">
        <color indexed="17"/>
      </top>
      <bottom style="thin">
        <color indexed="17"/>
      </bottom>
      <diagonal/>
    </border>
    <border>
      <left style="thin">
        <color indexed="10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8"/>
      </top>
      <bottom style="thin">
        <color theme="0" tint="-0.14999847407452621"/>
      </bottom>
      <diagonal/>
    </border>
    <border>
      <left/>
      <right/>
      <top style="thin">
        <color indexed="8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8"/>
      </top>
      <bottom style="thin">
        <color theme="0" tint="-0.14999847407452621"/>
      </bottom>
      <diagonal/>
    </border>
    <border>
      <left/>
      <right style="thin">
        <color indexed="12"/>
      </right>
      <top style="thin">
        <color indexed="8"/>
      </top>
      <bottom style="thin">
        <color theme="0" tint="-0.1499984740745262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theme="0" tint="-0.14999847407452621"/>
      </bottom>
      <diagonal/>
    </border>
    <border>
      <left style="hair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 style="thin">
        <color theme="0" tint="-0.14996795556505021"/>
      </bottom>
      <diagonal/>
    </border>
    <border>
      <left/>
      <right style="hair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hair">
        <color theme="0" tint="-0.14993743705557422"/>
      </left>
      <right style="thin">
        <color theme="0" tint="-0.14996795556505021"/>
      </right>
      <top/>
      <bottom/>
      <diagonal/>
    </border>
    <border>
      <left style="hair">
        <color theme="0" tint="-0.14993743705557422"/>
      </left>
      <right style="hair">
        <color theme="0" tint="-0.14993743705557422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hair">
        <color theme="0" tint="-0.14993743705557422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double">
        <color theme="0" tint="-0.14993743705557422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</borders>
  <cellStyleXfs count="7">
    <xf numFmtId="0" fontId="0" fillId="0" borderId="0" applyNumberFormat="0" applyFill="0" applyBorder="0" applyProtection="0"/>
    <xf numFmtId="9" fontId="52" fillId="0" borderId="0" applyFont="0" applyFill="0" applyBorder="0" applyAlignment="0" applyProtection="0"/>
    <xf numFmtId="43" fontId="57" fillId="0" borderId="0" applyFont="0" applyFill="0" applyBorder="0" applyAlignment="0" applyProtection="0"/>
    <xf numFmtId="179" fontId="58" fillId="0" borderId="10"/>
    <xf numFmtId="0" fontId="1" fillId="0" borderId="10"/>
    <xf numFmtId="0" fontId="68" fillId="0" borderId="10" applyFill="0" applyBorder="0" applyProtection="0">
      <protection locked="0"/>
    </xf>
    <xf numFmtId="0" fontId="73" fillId="0" borderId="10" applyNumberFormat="0" applyFill="0" applyBorder="0" applyAlignment="0" applyProtection="0"/>
  </cellStyleXfs>
  <cellXfs count="620">
    <xf numFmtId="0" fontId="0" fillId="0" borderId="0" xfId="0"/>
    <xf numFmtId="0" fontId="0" fillId="0" borderId="0" xfId="0" applyNumberFormat="1"/>
    <xf numFmtId="165" fontId="2" fillId="2" borderId="1" xfId="0" applyNumberFormat="1" applyFont="1" applyFill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5" fontId="5" fillId="2" borderId="7" xfId="0" applyNumberFormat="1" applyFont="1" applyFill="1" applyBorder="1"/>
    <xf numFmtId="165" fontId="6" fillId="2" borderId="7" xfId="0" applyNumberFormat="1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left"/>
    </xf>
    <xf numFmtId="165" fontId="7" fillId="2" borderId="7" xfId="0" applyNumberFormat="1" applyFont="1" applyFill="1" applyBorder="1"/>
    <xf numFmtId="165" fontId="7" fillId="2" borderId="8" xfId="0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49" fontId="9" fillId="2" borderId="9" xfId="0" applyNumberFormat="1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165" fontId="10" fillId="2" borderId="9" xfId="0" applyNumberFormat="1" applyFont="1" applyFill="1" applyBorder="1"/>
    <xf numFmtId="165" fontId="10" fillId="2" borderId="10" xfId="0" applyNumberFormat="1" applyFont="1" applyFill="1" applyBorder="1"/>
    <xf numFmtId="165" fontId="7" fillId="2" borderId="10" xfId="0" applyNumberFormat="1" applyFont="1" applyFill="1" applyBorder="1"/>
    <xf numFmtId="165" fontId="0" fillId="2" borderId="13" xfId="0" applyNumberFormat="1" applyFill="1" applyBorder="1" applyAlignment="1">
      <alignment horizontal="left" vertical="center"/>
    </xf>
    <xf numFmtId="165" fontId="0" fillId="2" borderId="14" xfId="0" applyNumberFormat="1" applyFill="1" applyBorder="1" applyAlignment="1">
      <alignment horizontal="left" vertical="center"/>
    </xf>
    <xf numFmtId="165" fontId="0" fillId="2" borderId="15" xfId="0" applyNumberFormat="1" applyFill="1" applyBorder="1" applyAlignment="1">
      <alignment horizontal="left" vertical="center"/>
    </xf>
    <xf numFmtId="165" fontId="0" fillId="2" borderId="9" xfId="0" applyNumberFormat="1" applyFill="1" applyBorder="1" applyAlignment="1">
      <alignment horizontal="left" vertical="center"/>
    </xf>
    <xf numFmtId="165" fontId="0" fillId="2" borderId="10" xfId="0" applyNumberFormat="1" applyFill="1" applyBorder="1" applyAlignment="1">
      <alignment horizontal="left" vertical="center"/>
    </xf>
    <xf numFmtId="49" fontId="11" fillId="2" borderId="16" xfId="0" applyNumberFormat="1" applyFont="1" applyFill="1" applyBorder="1"/>
    <xf numFmtId="165" fontId="11" fillId="2" borderId="17" xfId="0" applyNumberFormat="1" applyFont="1" applyFill="1" applyBorder="1"/>
    <xf numFmtId="165" fontId="11" fillId="2" borderId="18" xfId="0" applyNumberFormat="1" applyFont="1" applyFill="1" applyBorder="1"/>
    <xf numFmtId="49" fontId="12" fillId="2" borderId="9" xfId="0" applyNumberFormat="1" applyFont="1" applyFill="1" applyBorder="1" applyAlignment="1">
      <alignment horizontal="left"/>
    </xf>
    <xf numFmtId="49" fontId="12" fillId="2" borderId="10" xfId="0" applyNumberFormat="1" applyFont="1" applyFill="1" applyBorder="1" applyAlignment="1">
      <alignment horizontal="left"/>
    </xf>
    <xf numFmtId="165" fontId="12" fillId="2" borderId="10" xfId="0" applyNumberFormat="1" applyFont="1" applyFill="1" applyBorder="1" applyAlignment="1">
      <alignment horizontal="left"/>
    </xf>
    <xf numFmtId="165" fontId="12" fillId="2" borderId="12" xfId="0" applyNumberFormat="1" applyFont="1" applyFill="1" applyBorder="1" applyAlignment="1">
      <alignment horizontal="left"/>
    </xf>
    <xf numFmtId="165" fontId="0" fillId="2" borderId="9" xfId="0" applyNumberFormat="1" applyFill="1" applyBorder="1" applyAlignment="1">
      <alignment horizontal="left"/>
    </xf>
    <xf numFmtId="165" fontId="0" fillId="2" borderId="10" xfId="0" applyNumberFormat="1" applyFill="1" applyBorder="1" applyAlignment="1">
      <alignment horizontal="left"/>
    </xf>
    <xf numFmtId="167" fontId="8" fillId="2" borderId="19" xfId="0" applyNumberFormat="1" applyFont="1" applyFill="1" applyBorder="1" applyAlignment="1">
      <alignment horizontal="center" vertical="center"/>
    </xf>
    <xf numFmtId="49" fontId="13" fillId="2" borderId="20" xfId="0" applyNumberFormat="1" applyFont="1" applyFill="1" applyBorder="1" applyAlignment="1">
      <alignment horizontal="left" vertical="center"/>
    </xf>
    <xf numFmtId="166" fontId="13" fillId="2" borderId="21" xfId="0" applyNumberFormat="1" applyFont="1" applyFill="1" applyBorder="1" applyAlignment="1">
      <alignment horizontal="left" vertical="center"/>
    </xf>
    <xf numFmtId="165" fontId="14" fillId="2" borderId="9" xfId="0" applyNumberFormat="1" applyFont="1" applyFill="1" applyBorder="1" applyAlignment="1">
      <alignment vertical="center"/>
    </xf>
    <xf numFmtId="165" fontId="0" fillId="2" borderId="10" xfId="0" applyNumberFormat="1" applyFill="1" applyBorder="1" applyAlignment="1">
      <alignment vertical="center"/>
    </xf>
    <xf numFmtId="165" fontId="0" fillId="2" borderId="11" xfId="0" applyNumberFormat="1" applyFill="1" applyBorder="1" applyAlignment="1">
      <alignment vertical="center"/>
    </xf>
    <xf numFmtId="167" fontId="8" fillId="2" borderId="25" xfId="0" applyNumberFormat="1" applyFont="1" applyFill="1" applyBorder="1" applyAlignment="1">
      <alignment horizontal="center" vertical="center"/>
    </xf>
    <xf numFmtId="49" fontId="13" fillId="2" borderId="26" xfId="0" applyNumberFormat="1" applyFont="1" applyFill="1" applyBorder="1" applyAlignment="1">
      <alignment horizontal="left" vertical="center"/>
    </xf>
    <xf numFmtId="166" fontId="13" fillId="2" borderId="27" xfId="0" applyNumberFormat="1" applyFont="1" applyFill="1" applyBorder="1" applyAlignment="1">
      <alignment horizontal="left" vertical="center"/>
    </xf>
    <xf numFmtId="167" fontId="8" fillId="2" borderId="31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left" vertical="center"/>
    </xf>
    <xf numFmtId="166" fontId="13" fillId="2" borderId="33" xfId="0" applyNumberFormat="1" applyFont="1" applyFill="1" applyBorder="1" applyAlignment="1">
      <alignment horizontal="left" vertical="center"/>
    </xf>
    <xf numFmtId="0" fontId="0" fillId="2" borderId="37" xfId="0" applyFill="1" applyBorder="1"/>
    <xf numFmtId="165" fontId="0" fillId="2" borderId="7" xfId="0" applyNumberFormat="1" applyFill="1" applyBorder="1" applyAlignment="1">
      <alignment horizontal="left" vertical="center"/>
    </xf>
    <xf numFmtId="165" fontId="15" fillId="2" borderId="10" xfId="0" applyNumberFormat="1" applyFont="1" applyFill="1" applyBorder="1"/>
    <xf numFmtId="165" fontId="16" fillId="2" borderId="10" xfId="0" applyNumberFormat="1" applyFont="1" applyFill="1" applyBorder="1"/>
    <xf numFmtId="49" fontId="17" fillId="2" borderId="37" xfId="0" applyNumberFormat="1" applyFont="1" applyFill="1" applyBorder="1"/>
    <xf numFmtId="49" fontId="17" fillId="2" borderId="38" xfId="0" applyNumberFormat="1" applyFont="1" applyFill="1" applyBorder="1"/>
    <xf numFmtId="0" fontId="0" fillId="2" borderId="39" xfId="0" applyFill="1" applyBorder="1"/>
    <xf numFmtId="0" fontId="0" fillId="2" borderId="40" xfId="0" applyFill="1" applyBorder="1"/>
    <xf numFmtId="168" fontId="2" fillId="2" borderId="1" xfId="0" applyNumberFormat="1" applyFont="1" applyFill="1" applyBorder="1"/>
    <xf numFmtId="49" fontId="18" fillId="2" borderId="3" xfId="0" applyNumberFormat="1" applyFont="1" applyFill="1" applyBorder="1" applyAlignment="1">
      <alignment horizontal="left" vertical="center"/>
    </xf>
    <xf numFmtId="168" fontId="18" fillId="2" borderId="3" xfId="0" applyNumberFormat="1" applyFont="1" applyFill="1" applyBorder="1" applyAlignment="1">
      <alignment horizontal="left" vertical="center"/>
    </xf>
    <xf numFmtId="0" fontId="0" fillId="2" borderId="41" xfId="0" applyFill="1" applyBorder="1"/>
    <xf numFmtId="0" fontId="0" fillId="2" borderId="42" xfId="0" applyFill="1" applyBorder="1"/>
    <xf numFmtId="49" fontId="0" fillId="2" borderId="3" xfId="0" applyNumberFormat="1" applyFill="1" applyBorder="1"/>
    <xf numFmtId="168" fontId="18" fillId="2" borderId="10" xfId="0" applyNumberFormat="1" applyFont="1" applyFill="1" applyBorder="1" applyAlignment="1">
      <alignment horizontal="left" vertical="center"/>
    </xf>
    <xf numFmtId="0" fontId="0" fillId="2" borderId="12" xfId="0" applyFill="1" applyBorder="1"/>
    <xf numFmtId="0" fontId="0" fillId="2" borderId="43" xfId="0" applyFill="1" applyBorder="1"/>
    <xf numFmtId="0" fontId="0" fillId="2" borderId="44" xfId="0" applyFill="1" applyBorder="1"/>
    <xf numFmtId="168" fontId="20" fillId="2" borderId="10" xfId="0" applyNumberFormat="1" applyFont="1" applyFill="1" applyBorder="1" applyAlignment="1">
      <alignment vertical="center"/>
    </xf>
    <xf numFmtId="168" fontId="20" fillId="2" borderId="12" xfId="0" applyNumberFormat="1" applyFont="1" applyFill="1" applyBorder="1" applyAlignment="1">
      <alignment vertical="center"/>
    </xf>
    <xf numFmtId="49" fontId="21" fillId="2" borderId="45" xfId="0" applyNumberFormat="1" applyFont="1" applyFill="1" applyBorder="1" applyAlignment="1">
      <alignment horizontal="center" vertical="center"/>
    </xf>
    <xf numFmtId="49" fontId="21" fillId="2" borderId="46" xfId="0" applyNumberFormat="1" applyFont="1" applyFill="1" applyBorder="1" applyAlignment="1">
      <alignment horizontal="center" vertical="center"/>
    </xf>
    <xf numFmtId="168" fontId="21" fillId="2" borderId="47" xfId="0" applyNumberFormat="1" applyFont="1" applyFill="1" applyBorder="1" applyAlignment="1">
      <alignment horizontal="center"/>
    </xf>
    <xf numFmtId="168" fontId="22" fillId="2" borderId="44" xfId="0" applyNumberFormat="1" applyFont="1" applyFill="1" applyBorder="1"/>
    <xf numFmtId="168" fontId="22" fillId="2" borderId="48" xfId="0" applyNumberFormat="1" applyFont="1" applyFill="1" applyBorder="1"/>
    <xf numFmtId="168" fontId="22" fillId="2" borderId="45" xfId="0" applyNumberFormat="1" applyFont="1" applyFill="1" applyBorder="1"/>
    <xf numFmtId="168" fontId="22" fillId="2" borderId="49" xfId="0" applyNumberFormat="1" applyFont="1" applyFill="1" applyBorder="1"/>
    <xf numFmtId="49" fontId="23" fillId="2" borderId="51" xfId="0" applyNumberFormat="1" applyFont="1" applyFill="1" applyBorder="1" applyAlignment="1">
      <alignment vertical="center"/>
    </xf>
    <xf numFmtId="168" fontId="23" fillId="2" borderId="52" xfId="0" applyNumberFormat="1" applyFont="1" applyFill="1" applyBorder="1" applyAlignment="1">
      <alignment vertical="center"/>
    </xf>
    <xf numFmtId="168" fontId="23" fillId="2" borderId="53" xfId="0" applyNumberFormat="1" applyFont="1" applyFill="1" applyBorder="1" applyAlignment="1">
      <alignment vertical="center"/>
    </xf>
    <xf numFmtId="168" fontId="23" fillId="2" borderId="50" xfId="0" applyNumberFormat="1" applyFont="1" applyFill="1" applyBorder="1" applyAlignment="1">
      <alignment vertical="center"/>
    </xf>
    <xf numFmtId="168" fontId="23" fillId="2" borderId="54" xfId="0" applyNumberFormat="1" applyFont="1" applyFill="1" applyBorder="1" applyAlignment="1">
      <alignment vertical="center"/>
    </xf>
    <xf numFmtId="49" fontId="24" fillId="2" borderId="55" xfId="0" applyNumberFormat="1" applyFont="1" applyFill="1" applyBorder="1"/>
    <xf numFmtId="168" fontId="22" fillId="2" borderId="9" xfId="0" applyNumberFormat="1" applyFont="1" applyFill="1" applyBorder="1"/>
    <xf numFmtId="168" fontId="22" fillId="2" borderId="10" xfId="0" applyNumberFormat="1" applyFont="1" applyFill="1" applyBorder="1"/>
    <xf numFmtId="49" fontId="27" fillId="2" borderId="12" xfId="0" applyNumberFormat="1" applyFont="1" applyFill="1" applyBorder="1" applyAlignment="1">
      <alignment horizontal="right"/>
    </xf>
    <xf numFmtId="169" fontId="0" fillId="2" borderId="57" xfId="0" applyNumberFormat="1" applyFill="1" applyBorder="1"/>
    <xf numFmtId="168" fontId="28" fillId="2" borderId="9" xfId="0" applyNumberFormat="1" applyFont="1" applyFill="1" applyBorder="1"/>
    <xf numFmtId="168" fontId="22" fillId="2" borderId="58" xfId="0" applyNumberFormat="1" applyFont="1" applyFill="1" applyBorder="1"/>
    <xf numFmtId="168" fontId="22" fillId="2" borderId="21" xfId="0" applyNumberFormat="1" applyFont="1" applyFill="1" applyBorder="1"/>
    <xf numFmtId="168" fontId="19" fillId="2" borderId="59" xfId="0" applyNumberFormat="1" applyFont="1" applyFill="1" applyBorder="1" applyAlignment="1">
      <alignment horizontal="right"/>
    </xf>
    <xf numFmtId="169" fontId="19" fillId="2" borderId="60" xfId="0" applyNumberFormat="1" applyFont="1" applyFill="1" applyBorder="1"/>
    <xf numFmtId="49" fontId="29" fillId="2" borderId="61" xfId="0" applyNumberFormat="1" applyFont="1" applyFill="1" applyBorder="1" applyAlignment="1">
      <alignment vertical="center"/>
    </xf>
    <xf numFmtId="168" fontId="29" fillId="2" borderId="62" xfId="0" applyNumberFormat="1" applyFont="1" applyFill="1" applyBorder="1"/>
    <xf numFmtId="169" fontId="30" fillId="2" borderId="64" xfId="0" applyNumberFormat="1" applyFont="1" applyFill="1" applyBorder="1"/>
    <xf numFmtId="169" fontId="29" fillId="2" borderId="65" xfId="0" applyNumberFormat="1" applyFont="1" applyFill="1" applyBorder="1"/>
    <xf numFmtId="168" fontId="15" fillId="2" borderId="5" xfId="0" applyNumberFormat="1" applyFont="1" applyFill="1" applyBorder="1" applyAlignment="1">
      <alignment horizontal="right"/>
    </xf>
    <xf numFmtId="49" fontId="31" fillId="2" borderId="66" xfId="0" applyNumberFormat="1" applyFont="1" applyFill="1" applyBorder="1" applyAlignment="1">
      <alignment horizontal="left"/>
    </xf>
    <xf numFmtId="165" fontId="31" fillId="2" borderId="67" xfId="0" applyNumberFormat="1" applyFont="1" applyFill="1" applyBorder="1" applyAlignment="1">
      <alignment horizontal="left"/>
    </xf>
    <xf numFmtId="165" fontId="31" fillId="2" borderId="68" xfId="0" applyNumberFormat="1" applyFont="1" applyFill="1" applyBorder="1" applyAlignment="1">
      <alignment horizontal="left"/>
    </xf>
    <xf numFmtId="170" fontId="32" fillId="2" borderId="69" xfId="0" applyNumberFormat="1" applyFont="1" applyFill="1" applyBorder="1" applyAlignment="1">
      <alignment horizontal="right"/>
    </xf>
    <xf numFmtId="170" fontId="32" fillId="2" borderId="66" xfId="0" applyNumberFormat="1" applyFont="1" applyFill="1" applyBorder="1" applyAlignment="1">
      <alignment horizontal="right"/>
    </xf>
    <xf numFmtId="168" fontId="28" fillId="2" borderId="10" xfId="0" applyNumberFormat="1" applyFont="1" applyFill="1" applyBorder="1"/>
    <xf numFmtId="168" fontId="0" fillId="2" borderId="58" xfId="0" applyNumberFormat="1" applyFill="1" applyBorder="1"/>
    <xf numFmtId="168" fontId="24" fillId="2" borderId="10" xfId="0" applyNumberFormat="1" applyFont="1" applyFill="1" applyBorder="1"/>
    <xf numFmtId="168" fontId="33" fillId="2" borderId="10" xfId="0" applyNumberFormat="1" applyFont="1" applyFill="1" applyBorder="1" applyAlignment="1">
      <alignment vertical="center"/>
    </xf>
    <xf numFmtId="168" fontId="27" fillId="2" borderId="12" xfId="0" applyNumberFormat="1" applyFont="1" applyFill="1" applyBorder="1" applyAlignment="1">
      <alignment horizontal="right"/>
    </xf>
    <xf numFmtId="168" fontId="34" fillId="2" borderId="57" xfId="0" applyNumberFormat="1" applyFont="1" applyFill="1" applyBorder="1" applyAlignment="1">
      <alignment vertical="center"/>
    </xf>
    <xf numFmtId="168" fontId="0" fillId="2" borderId="57" xfId="0" applyNumberFormat="1" applyFill="1" applyBorder="1"/>
    <xf numFmtId="0" fontId="0" fillId="2" borderId="57" xfId="0" applyFill="1" applyBorder="1"/>
    <xf numFmtId="168" fontId="7" fillId="2" borderId="5" xfId="0" applyNumberFormat="1" applyFont="1" applyFill="1" applyBorder="1"/>
    <xf numFmtId="168" fontId="34" fillId="2" borderId="10" xfId="0" applyNumberFormat="1" applyFont="1" applyFill="1" applyBorder="1" applyAlignment="1">
      <alignment vertical="center"/>
    </xf>
    <xf numFmtId="168" fontId="34" fillId="2" borderId="12" xfId="0" applyNumberFormat="1" applyFont="1" applyFill="1" applyBorder="1" applyAlignment="1">
      <alignment vertical="center"/>
    </xf>
    <xf numFmtId="168" fontId="34" fillId="2" borderId="9" xfId="0" applyNumberFormat="1" applyFont="1" applyFill="1" applyBorder="1" applyAlignment="1">
      <alignment vertical="center"/>
    </xf>
    <xf numFmtId="169" fontId="34" fillId="2" borderId="57" xfId="0" applyNumberFormat="1" applyFont="1" applyFill="1" applyBorder="1" applyAlignment="1">
      <alignment vertical="center"/>
    </xf>
    <xf numFmtId="168" fontId="0" fillId="2" borderId="9" xfId="0" applyNumberFormat="1" applyFill="1" applyBorder="1"/>
    <xf numFmtId="165" fontId="27" fillId="2" borderId="12" xfId="0" applyNumberFormat="1" applyFont="1" applyFill="1" applyBorder="1" applyAlignment="1">
      <alignment horizontal="right"/>
    </xf>
    <xf numFmtId="0" fontId="0" fillId="2" borderId="21" xfId="0" applyFill="1" applyBorder="1"/>
    <xf numFmtId="168" fontId="0" fillId="2" borderId="21" xfId="0" applyNumberFormat="1" applyFill="1" applyBorder="1"/>
    <xf numFmtId="168" fontId="33" fillId="2" borderId="21" xfId="0" applyNumberFormat="1" applyFont="1" applyFill="1" applyBorder="1" applyAlignment="1">
      <alignment vertical="center"/>
    </xf>
    <xf numFmtId="168" fontId="33" fillId="2" borderId="59" xfId="0" applyNumberFormat="1" applyFont="1" applyFill="1" applyBorder="1" applyAlignment="1">
      <alignment vertical="center"/>
    </xf>
    <xf numFmtId="169" fontId="0" fillId="2" borderId="60" xfId="0" applyNumberFormat="1" applyFill="1" applyBorder="1"/>
    <xf numFmtId="169" fontId="0" fillId="2" borderId="70" xfId="0" applyNumberFormat="1" applyFill="1" applyBorder="1"/>
    <xf numFmtId="169" fontId="29" fillId="2" borderId="71" xfId="0" applyNumberFormat="1" applyFont="1" applyFill="1" applyBorder="1"/>
    <xf numFmtId="168" fontId="19" fillId="2" borderId="12" xfId="0" applyNumberFormat="1" applyFont="1" applyFill="1" applyBorder="1" applyAlignment="1">
      <alignment horizontal="right"/>
    </xf>
    <xf numFmtId="168" fontId="19" fillId="2" borderId="57" xfId="0" applyNumberFormat="1" applyFont="1" applyFill="1" applyBorder="1"/>
    <xf numFmtId="49" fontId="24" fillId="2" borderId="9" xfId="0" applyNumberFormat="1" applyFont="1" applyFill="1" applyBorder="1"/>
    <xf numFmtId="168" fontId="27" fillId="2" borderId="59" xfId="0" applyNumberFormat="1" applyFont="1" applyFill="1" applyBorder="1" applyAlignment="1">
      <alignment horizontal="right"/>
    </xf>
    <xf numFmtId="169" fontId="30" fillId="2" borderId="65" xfId="0" applyNumberFormat="1" applyFont="1" applyFill="1" applyBorder="1"/>
    <xf numFmtId="168" fontId="19" fillId="2" borderId="60" xfId="0" applyNumberFormat="1" applyFont="1" applyFill="1" applyBorder="1"/>
    <xf numFmtId="169" fontId="19" fillId="2" borderId="57" xfId="0" applyNumberFormat="1" applyFont="1" applyFill="1" applyBorder="1"/>
    <xf numFmtId="168" fontId="22" fillId="2" borderId="73" xfId="0" applyNumberFormat="1" applyFont="1" applyFill="1" applyBorder="1"/>
    <xf numFmtId="168" fontId="22" fillId="2" borderId="74" xfId="0" applyNumberFormat="1" applyFont="1" applyFill="1" applyBorder="1"/>
    <xf numFmtId="49" fontId="27" fillId="2" borderId="75" xfId="0" applyNumberFormat="1" applyFont="1" applyFill="1" applyBorder="1" applyAlignment="1">
      <alignment horizontal="right"/>
    </xf>
    <xf numFmtId="169" fontId="19" fillId="2" borderId="76" xfId="0" applyNumberFormat="1" applyFont="1" applyFill="1" applyBorder="1"/>
    <xf numFmtId="165" fontId="0" fillId="2" borderId="5" xfId="0" applyNumberFormat="1" applyFill="1" applyBorder="1"/>
    <xf numFmtId="49" fontId="16" fillId="2" borderId="66" xfId="0" applyNumberFormat="1" applyFont="1" applyFill="1" applyBorder="1"/>
    <xf numFmtId="165" fontId="0" fillId="2" borderId="67" xfId="0" applyNumberFormat="1" applyFill="1" applyBorder="1"/>
    <xf numFmtId="165" fontId="0" fillId="2" borderId="68" xfId="0" applyNumberFormat="1" applyFill="1" applyBorder="1"/>
    <xf numFmtId="169" fontId="0" fillId="2" borderId="69" xfId="0" applyNumberFormat="1" applyFill="1" applyBorder="1"/>
    <xf numFmtId="49" fontId="31" fillId="2" borderId="77" xfId="0" applyNumberFormat="1" applyFont="1" applyFill="1" applyBorder="1" applyAlignment="1">
      <alignment horizontal="left"/>
    </xf>
    <xf numFmtId="165" fontId="31" fillId="2" borderId="78" xfId="0" applyNumberFormat="1" applyFont="1" applyFill="1" applyBorder="1" applyAlignment="1">
      <alignment horizontal="left"/>
    </xf>
    <xf numFmtId="165" fontId="31" fillId="2" borderId="79" xfId="0" applyNumberFormat="1" applyFont="1" applyFill="1" applyBorder="1" applyAlignment="1">
      <alignment horizontal="left"/>
    </xf>
    <xf numFmtId="170" fontId="32" fillId="2" borderId="80" xfId="0" applyNumberFormat="1" applyFont="1" applyFill="1" applyBorder="1" applyAlignment="1">
      <alignment horizontal="right"/>
    </xf>
    <xf numFmtId="165" fontId="31" fillId="2" borderId="6" xfId="0" applyNumberFormat="1" applyFont="1" applyFill="1" applyBorder="1" applyAlignment="1">
      <alignment horizontal="left"/>
    </xf>
    <xf numFmtId="165" fontId="31" fillId="2" borderId="7" xfId="0" applyNumberFormat="1" applyFont="1" applyFill="1" applyBorder="1" applyAlignment="1">
      <alignment horizontal="left"/>
    </xf>
    <xf numFmtId="165" fontId="31" fillId="2" borderId="8" xfId="0" applyNumberFormat="1" applyFont="1" applyFill="1" applyBorder="1" applyAlignment="1">
      <alignment horizontal="left"/>
    </xf>
    <xf numFmtId="170" fontId="32" fillId="2" borderId="56" xfId="0" applyNumberFormat="1" applyFont="1" applyFill="1" applyBorder="1" applyAlignment="1">
      <alignment horizontal="right"/>
    </xf>
    <xf numFmtId="169" fontId="34" fillId="2" borderId="82" xfId="0" applyNumberFormat="1" applyFont="1" applyFill="1" applyBorder="1" applyAlignment="1">
      <alignment vertical="center"/>
    </xf>
    <xf numFmtId="168" fontId="15" fillId="2" borderId="37" xfId="0" applyNumberFormat="1" applyFont="1" applyFill="1" applyBorder="1" applyAlignment="1">
      <alignment horizontal="right"/>
    </xf>
    <xf numFmtId="170" fontId="32" fillId="2" borderId="7" xfId="0" applyNumberFormat="1" applyFont="1" applyFill="1" applyBorder="1" applyAlignment="1">
      <alignment horizontal="right"/>
    </xf>
    <xf numFmtId="168" fontId="0" fillId="2" borderId="12" xfId="0" applyNumberFormat="1" applyFill="1" applyBorder="1"/>
    <xf numFmtId="168" fontId="0" fillId="2" borderId="48" xfId="0" applyNumberFormat="1" applyFill="1" applyBorder="1"/>
    <xf numFmtId="49" fontId="23" fillId="2" borderId="83" xfId="0" applyNumberFormat="1" applyFont="1" applyFill="1" applyBorder="1" applyAlignment="1">
      <alignment vertical="center"/>
    </xf>
    <xf numFmtId="49" fontId="21" fillId="2" borderId="54" xfId="0" applyNumberFormat="1" applyFont="1" applyFill="1" applyBorder="1" applyAlignment="1">
      <alignment horizontal="center" vertical="center"/>
    </xf>
    <xf numFmtId="168" fontId="0" fillId="2" borderId="5" xfId="0" applyNumberFormat="1" applyFill="1" applyBorder="1"/>
    <xf numFmtId="49" fontId="24" fillId="2" borderId="6" xfId="0" applyNumberFormat="1" applyFont="1" applyFill="1" applyBorder="1"/>
    <xf numFmtId="0" fontId="0" fillId="2" borderId="7" xfId="0" applyFill="1" applyBorder="1"/>
    <xf numFmtId="168" fontId="0" fillId="2" borderId="8" xfId="0" applyNumberFormat="1" applyFill="1" applyBorder="1"/>
    <xf numFmtId="168" fontId="0" fillId="2" borderId="56" xfId="0" applyNumberFormat="1" applyFill="1" applyBorder="1"/>
    <xf numFmtId="0" fontId="0" fillId="2" borderId="8" xfId="0" applyFill="1" applyBorder="1"/>
    <xf numFmtId="169" fontId="0" fillId="2" borderId="9" xfId="0" applyNumberFormat="1" applyFill="1" applyBorder="1"/>
    <xf numFmtId="169" fontId="0" fillId="2" borderId="12" xfId="0" applyNumberFormat="1" applyFill="1" applyBorder="1"/>
    <xf numFmtId="169" fontId="0" fillId="2" borderId="10" xfId="0" applyNumberFormat="1" applyFill="1" applyBorder="1"/>
    <xf numFmtId="0" fontId="0" fillId="2" borderId="73" xfId="0" applyFill="1" applyBorder="1"/>
    <xf numFmtId="0" fontId="0" fillId="2" borderId="74" xfId="0" applyFill="1" applyBorder="1"/>
    <xf numFmtId="168" fontId="0" fillId="2" borderId="76" xfId="0" applyNumberFormat="1" applyFill="1" applyBorder="1"/>
    <xf numFmtId="169" fontId="0" fillId="2" borderId="75" xfId="0" applyNumberFormat="1" applyFill="1" applyBorder="1"/>
    <xf numFmtId="168" fontId="0" fillId="2" borderId="69" xfId="0" applyNumberFormat="1" applyFill="1" applyBorder="1"/>
    <xf numFmtId="168" fontId="0" fillId="2" borderId="68" xfId="0" applyNumberFormat="1" applyFill="1" applyBorder="1"/>
    <xf numFmtId="168" fontId="19" fillId="2" borderId="76" xfId="0" applyNumberFormat="1" applyFont="1" applyFill="1" applyBorder="1"/>
    <xf numFmtId="169" fontId="19" fillId="2" borderId="73" xfId="0" applyNumberFormat="1" applyFont="1" applyFill="1" applyBorder="1"/>
    <xf numFmtId="169" fontId="0" fillId="2" borderId="68" xfId="0" applyNumberFormat="1" applyFill="1" applyBorder="1"/>
    <xf numFmtId="0" fontId="0" fillId="2" borderId="58" xfId="0" applyFill="1" applyBorder="1"/>
    <xf numFmtId="168" fontId="0" fillId="2" borderId="59" xfId="0" applyNumberFormat="1" applyFill="1" applyBorder="1"/>
    <xf numFmtId="168" fontId="0" fillId="2" borderId="60" xfId="0" applyNumberFormat="1" applyFill="1" applyBorder="1"/>
    <xf numFmtId="169" fontId="0" fillId="2" borderId="59" xfId="0" applyNumberFormat="1" applyFill="1" applyBorder="1"/>
    <xf numFmtId="49" fontId="29" fillId="2" borderId="84" xfId="0" applyNumberFormat="1" applyFont="1" applyFill="1" applyBorder="1" applyAlignment="1">
      <alignment vertical="center"/>
    </xf>
    <xf numFmtId="168" fontId="29" fillId="2" borderId="27" xfId="0" applyNumberFormat="1" applyFont="1" applyFill="1" applyBorder="1"/>
    <xf numFmtId="168" fontId="29" fillId="2" borderId="33" xfId="0" applyNumberFormat="1" applyFont="1" applyFill="1" applyBorder="1"/>
    <xf numFmtId="168" fontId="29" fillId="2" borderId="86" xfId="0" applyNumberFormat="1" applyFont="1" applyFill="1" applyBorder="1"/>
    <xf numFmtId="169" fontId="29" fillId="2" borderId="87" xfId="0" applyNumberFormat="1" applyFont="1" applyFill="1" applyBorder="1"/>
    <xf numFmtId="169" fontId="29" fillId="2" borderId="86" xfId="0" applyNumberFormat="1" applyFont="1" applyFill="1" applyBorder="1"/>
    <xf numFmtId="0" fontId="0" fillId="2" borderId="55" xfId="0" applyFill="1" applyBorder="1"/>
    <xf numFmtId="0" fontId="0" fillId="2" borderId="88" xfId="0" applyFill="1" applyBorder="1"/>
    <xf numFmtId="168" fontId="0" fillId="2" borderId="7" xfId="0" applyNumberFormat="1" applyFill="1" applyBorder="1"/>
    <xf numFmtId="168" fontId="0" fillId="2" borderId="89" xfId="0" applyNumberFormat="1" applyFill="1" applyBorder="1"/>
    <xf numFmtId="0" fontId="0" fillId="2" borderId="90" xfId="0" applyFill="1" applyBorder="1"/>
    <xf numFmtId="49" fontId="27" fillId="2" borderId="59" xfId="0" applyNumberFormat="1" applyFont="1" applyFill="1" applyBorder="1" applyAlignment="1">
      <alignment horizontal="right"/>
    </xf>
    <xf numFmtId="168" fontId="0" fillId="2" borderId="70" xfId="0" applyNumberFormat="1" applyFill="1" applyBorder="1"/>
    <xf numFmtId="49" fontId="35" fillId="2" borderId="10" xfId="0" applyNumberFormat="1" applyFont="1" applyFill="1" applyBorder="1" applyAlignment="1">
      <alignment horizontal="left"/>
    </xf>
    <xf numFmtId="49" fontId="35" fillId="2" borderId="67" xfId="0" applyNumberFormat="1" applyFont="1" applyFill="1" applyBorder="1" applyAlignment="1">
      <alignment horizontal="left"/>
    </xf>
    <xf numFmtId="169" fontId="0" fillId="2" borderId="69" xfId="0" applyNumberFormat="1" applyFill="1" applyBorder="1" applyAlignment="1">
      <alignment horizontal="center"/>
    </xf>
    <xf numFmtId="169" fontId="0" fillId="2" borderId="60" xfId="0" applyNumberFormat="1" applyFill="1" applyBorder="1" applyAlignment="1">
      <alignment horizontal="center"/>
    </xf>
    <xf numFmtId="165" fontId="36" fillId="2" borderId="1" xfId="0" applyNumberFormat="1" applyFont="1" applyFill="1" applyBorder="1"/>
    <xf numFmtId="171" fontId="18" fillId="2" borderId="3" xfId="0" applyNumberFormat="1" applyFont="1" applyFill="1" applyBorder="1" applyAlignment="1">
      <alignment horizontal="left" vertical="center"/>
    </xf>
    <xf numFmtId="0" fontId="0" fillId="2" borderId="1" xfId="0" applyFill="1" applyBorder="1"/>
    <xf numFmtId="172" fontId="18" fillId="2" borderId="21" xfId="0" applyNumberFormat="1" applyFont="1" applyFill="1" applyBorder="1" applyAlignment="1">
      <alignment horizontal="left" vertical="center"/>
    </xf>
    <xf numFmtId="171" fontId="18" fillId="2" borderId="21" xfId="0" applyNumberFormat="1" applyFont="1" applyFill="1" applyBorder="1" applyAlignment="1">
      <alignment horizontal="left" vertical="center"/>
    </xf>
    <xf numFmtId="49" fontId="19" fillId="2" borderId="21" xfId="0" applyNumberFormat="1" applyFont="1" applyFill="1" applyBorder="1" applyAlignment="1">
      <alignment horizontal="right"/>
    </xf>
    <xf numFmtId="167" fontId="33" fillId="2" borderId="21" xfId="0" applyNumberFormat="1" applyFont="1" applyFill="1" applyBorder="1" applyAlignment="1">
      <alignment horizontal="center"/>
    </xf>
    <xf numFmtId="0" fontId="0" fillId="2" borderId="91" xfId="0" applyFill="1" applyBorder="1"/>
    <xf numFmtId="49" fontId="23" fillId="2" borderId="92" xfId="0" applyNumberFormat="1" applyFont="1" applyFill="1" applyBorder="1"/>
    <xf numFmtId="165" fontId="23" fillId="2" borderId="27" xfId="0" applyNumberFormat="1" applyFont="1" applyFill="1" applyBorder="1"/>
    <xf numFmtId="165" fontId="23" fillId="2" borderId="28" xfId="0" applyNumberFormat="1" applyFont="1" applyFill="1" applyBorder="1"/>
    <xf numFmtId="49" fontId="23" fillId="2" borderId="29" xfId="0" applyNumberFormat="1" applyFont="1" applyFill="1" applyBorder="1" applyAlignment="1">
      <alignment horizontal="center"/>
    </xf>
    <xf numFmtId="49" fontId="23" fillId="2" borderId="93" xfId="0" applyNumberFormat="1" applyFont="1" applyFill="1" applyBorder="1" applyAlignment="1">
      <alignment horizontal="center"/>
    </xf>
    <xf numFmtId="0" fontId="0" fillId="2" borderId="94" xfId="0" applyFill="1" applyBorder="1"/>
    <xf numFmtId="165" fontId="0" fillId="2" borderId="37" xfId="0" applyNumberFormat="1" applyFill="1" applyBorder="1"/>
    <xf numFmtId="165" fontId="37" fillId="2" borderId="27" xfId="0" applyNumberFormat="1" applyFont="1" applyFill="1" applyBorder="1" applyAlignment="1">
      <alignment vertical="center"/>
    </xf>
    <xf numFmtId="165" fontId="38" fillId="2" borderId="27" xfId="0" applyNumberFormat="1" applyFont="1" applyFill="1" applyBorder="1" applyAlignment="1">
      <alignment vertical="center"/>
    </xf>
    <xf numFmtId="0" fontId="37" fillId="2" borderId="33" xfId="0" applyFont="1" applyFill="1" applyBorder="1" applyAlignment="1">
      <alignment horizontal="center" vertical="center"/>
    </xf>
    <xf numFmtId="0" fontId="0" fillId="2" borderId="95" xfId="0" applyFill="1" applyBorder="1"/>
    <xf numFmtId="49" fontId="23" fillId="2" borderId="26" xfId="0" applyNumberFormat="1" applyFont="1" applyFill="1" applyBorder="1"/>
    <xf numFmtId="49" fontId="23" fillId="2" borderId="96" xfId="0" applyNumberFormat="1" applyFont="1" applyFill="1" applyBorder="1" applyAlignment="1">
      <alignment horizontal="center"/>
    </xf>
    <xf numFmtId="49" fontId="23" fillId="2" borderId="97" xfId="0" applyNumberFormat="1" applyFont="1" applyFill="1" applyBorder="1" applyAlignment="1">
      <alignment horizontal="center"/>
    </xf>
    <xf numFmtId="165" fontId="39" fillId="2" borderId="55" xfId="0" applyNumberFormat="1" applyFont="1" applyFill="1" applyBorder="1"/>
    <xf numFmtId="165" fontId="39" fillId="2" borderId="88" xfId="0" applyNumberFormat="1" applyFont="1" applyFill="1" applyBorder="1"/>
    <xf numFmtId="165" fontId="31" fillId="2" borderId="98" xfId="0" applyNumberFormat="1" applyFont="1" applyFill="1" applyBorder="1" applyAlignment="1">
      <alignment horizontal="right"/>
    </xf>
    <xf numFmtId="173" fontId="0" fillId="2" borderId="99" xfId="0" applyNumberFormat="1" applyFill="1" applyBorder="1" applyAlignment="1">
      <alignment horizontal="center"/>
    </xf>
    <xf numFmtId="173" fontId="0" fillId="2" borderId="89" xfId="0" applyNumberFormat="1" applyFill="1" applyBorder="1" applyAlignment="1">
      <alignment horizontal="center"/>
    </xf>
    <xf numFmtId="49" fontId="16" fillId="2" borderId="9" xfId="0" applyNumberFormat="1" applyFont="1" applyFill="1" applyBorder="1"/>
    <xf numFmtId="165" fontId="35" fillId="2" borderId="10" xfId="0" applyNumberFormat="1" applyFont="1" applyFill="1" applyBorder="1" applyAlignment="1">
      <alignment horizontal="left"/>
    </xf>
    <xf numFmtId="165" fontId="0" fillId="2" borderId="10" xfId="0" applyNumberFormat="1" applyFill="1" applyBorder="1"/>
    <xf numFmtId="165" fontId="0" fillId="2" borderId="100" xfId="0" applyNumberFormat="1" applyFill="1" applyBorder="1"/>
    <xf numFmtId="2" fontId="0" fillId="2" borderId="101" xfId="0" applyNumberFormat="1" applyFill="1" applyBorder="1" applyAlignment="1">
      <alignment horizontal="center"/>
    </xf>
    <xf numFmtId="2" fontId="0" fillId="2" borderId="57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60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left"/>
    </xf>
    <xf numFmtId="165" fontId="0" fillId="2" borderId="21" xfId="0" applyNumberFormat="1" applyFill="1" applyBorder="1"/>
    <xf numFmtId="170" fontId="40" fillId="3" borderId="102" xfId="0" applyNumberFormat="1" applyFont="1" applyFill="1" applyBorder="1" applyAlignment="1">
      <alignment horizontal="center"/>
    </xf>
    <xf numFmtId="0" fontId="0" fillId="2" borderId="103" xfId="0" applyFill="1" applyBorder="1"/>
    <xf numFmtId="169" fontId="40" fillId="3" borderId="28" xfId="0" applyNumberFormat="1" applyFont="1" applyFill="1" applyBorder="1" applyAlignment="1">
      <alignment horizontal="center"/>
    </xf>
    <xf numFmtId="165" fontId="0" fillId="2" borderId="103" xfId="0" applyNumberFormat="1" applyFill="1" applyBorder="1"/>
    <xf numFmtId="49" fontId="39" fillId="2" borderId="100" xfId="0" applyNumberFormat="1" applyFont="1" applyFill="1" applyBorder="1" applyAlignment="1">
      <alignment horizontal="right"/>
    </xf>
    <xf numFmtId="169" fontId="0" fillId="2" borderId="101" xfId="0" applyNumberFormat="1" applyFill="1" applyBorder="1" applyAlignment="1">
      <alignment horizontal="center"/>
    </xf>
    <xf numFmtId="169" fontId="0" fillId="2" borderId="57" xfId="0" applyNumberFormat="1" applyFill="1" applyBorder="1" applyAlignment="1">
      <alignment horizontal="center"/>
    </xf>
    <xf numFmtId="169" fontId="0" fillId="2" borderId="104" xfId="0" applyNumberFormat="1" applyFill="1" applyBorder="1" applyAlignment="1">
      <alignment horizontal="center"/>
    </xf>
    <xf numFmtId="49" fontId="0" fillId="2" borderId="74" xfId="0" applyNumberFormat="1" applyFill="1" applyBorder="1" applyAlignment="1">
      <alignment horizontal="left"/>
    </xf>
    <xf numFmtId="169" fontId="40" fillId="3" borderId="105" xfId="0" applyNumberFormat="1" applyFont="1" applyFill="1" applyBorder="1" applyAlignment="1">
      <alignment horizontal="center"/>
    </xf>
    <xf numFmtId="0" fontId="0" fillId="2" borderId="106" xfId="0" applyFill="1" applyBorder="1"/>
    <xf numFmtId="165" fontId="0" fillId="2" borderId="74" xfId="0" applyNumberFormat="1" applyFill="1" applyBorder="1"/>
    <xf numFmtId="165" fontId="0" fillId="2" borderId="107" xfId="0" applyNumberFormat="1" applyFill="1" applyBorder="1"/>
    <xf numFmtId="3" fontId="0" fillId="2" borderId="108" xfId="0" applyNumberFormat="1" applyFill="1" applyBorder="1" applyAlignment="1">
      <alignment horizontal="center"/>
    </xf>
    <xf numFmtId="3" fontId="0" fillId="2" borderId="76" xfId="0" applyNumberFormat="1" applyFill="1" applyBorder="1" applyAlignment="1">
      <alignment horizontal="center"/>
    </xf>
    <xf numFmtId="165" fontId="0" fillId="2" borderId="9" xfId="0" applyNumberFormat="1" applyFill="1" applyBorder="1"/>
    <xf numFmtId="165" fontId="0" fillId="2" borderId="109" xfId="0" applyNumberFormat="1" applyFill="1" applyBorder="1"/>
    <xf numFmtId="3" fontId="0" fillId="2" borderId="110" xfId="0" applyNumberFormat="1" applyFill="1" applyBorder="1" applyAlignment="1">
      <alignment horizontal="center"/>
    </xf>
    <xf numFmtId="3" fontId="0" fillId="2" borderId="69" xfId="0" applyNumberFormat="1" applyFill="1" applyBorder="1" applyAlignment="1">
      <alignment horizontal="center"/>
    </xf>
    <xf numFmtId="3" fontId="0" fillId="2" borderId="101" xfId="0" applyNumberFormat="1" applyFill="1" applyBorder="1" applyAlignment="1">
      <alignment horizontal="center"/>
    </xf>
    <xf numFmtId="3" fontId="0" fillId="2" borderId="57" xfId="0" applyNumberFormat="1" applyFill="1" applyBorder="1" applyAlignment="1">
      <alignment horizontal="center"/>
    </xf>
    <xf numFmtId="3" fontId="0" fillId="2" borderId="24" xfId="0" applyNumberFormat="1" applyFill="1" applyBorder="1" applyAlignment="1">
      <alignment horizontal="center"/>
    </xf>
    <xf numFmtId="3" fontId="0" fillId="2" borderId="60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left"/>
    </xf>
    <xf numFmtId="49" fontId="0" fillId="2" borderId="100" xfId="0" applyNumberFormat="1" applyFill="1" applyBorder="1" applyAlignment="1">
      <alignment horizontal="left"/>
    </xf>
    <xf numFmtId="2" fontId="40" fillId="3" borderId="102" xfId="0" applyNumberFormat="1" applyFont="1" applyFill="1" applyBorder="1" applyAlignment="1">
      <alignment horizontal="center"/>
    </xf>
    <xf numFmtId="165" fontId="0" fillId="2" borderId="74" xfId="0" applyNumberFormat="1" applyFill="1" applyBorder="1" applyAlignment="1">
      <alignment horizontal="left"/>
    </xf>
    <xf numFmtId="49" fontId="35" fillId="2" borderId="66" xfId="0" applyNumberFormat="1" applyFont="1" applyFill="1" applyBorder="1" applyAlignment="1">
      <alignment horizontal="left"/>
    </xf>
    <xf numFmtId="3" fontId="0" fillId="2" borderId="109" xfId="0" applyNumberFormat="1" applyFill="1" applyBorder="1" applyAlignment="1">
      <alignment horizontal="center"/>
    </xf>
    <xf numFmtId="49" fontId="0" fillId="2" borderId="107" xfId="0" applyNumberFormat="1" applyFill="1" applyBorder="1" applyAlignment="1">
      <alignment horizontal="left"/>
    </xf>
    <xf numFmtId="10" fontId="40" fillId="3" borderId="111" xfId="0" applyNumberFormat="1" applyFont="1" applyFill="1" applyBorder="1" applyAlignment="1">
      <alignment horizontal="center"/>
    </xf>
    <xf numFmtId="174" fontId="0" fillId="2" borderId="74" xfId="0" applyNumberFormat="1" applyFill="1" applyBorder="1"/>
    <xf numFmtId="49" fontId="41" fillId="2" borderId="107" xfId="0" applyNumberFormat="1" applyFont="1" applyFill="1" applyBorder="1" applyAlignment="1">
      <alignment horizontal="right"/>
    </xf>
    <xf numFmtId="1" fontId="0" fillId="2" borderId="108" xfId="0" applyNumberFormat="1" applyFill="1" applyBorder="1" applyAlignment="1">
      <alignment horizontal="center"/>
    </xf>
    <xf numFmtId="1" fontId="0" fillId="2" borderId="76" xfId="0" applyNumberFormat="1" applyFill="1" applyBorder="1" applyAlignment="1">
      <alignment horizontal="center"/>
    </xf>
    <xf numFmtId="49" fontId="0" fillId="2" borderId="21" xfId="0" applyNumberFormat="1" applyFill="1" applyBorder="1"/>
    <xf numFmtId="49" fontId="0" fillId="2" borderId="10" xfId="0" applyNumberFormat="1" applyFill="1" applyBorder="1"/>
    <xf numFmtId="10" fontId="40" fillId="3" borderId="88" xfId="0" applyNumberFormat="1" applyFont="1" applyFill="1" applyBorder="1" applyAlignment="1">
      <alignment horizontal="center"/>
    </xf>
    <xf numFmtId="165" fontId="39" fillId="2" borderId="10" xfId="0" applyNumberFormat="1" applyFont="1" applyFill="1" applyBorder="1" applyAlignment="1">
      <alignment horizontal="center"/>
    </xf>
    <xf numFmtId="0" fontId="0" fillId="2" borderId="112" xfId="0" applyFill="1" applyBorder="1"/>
    <xf numFmtId="165" fontId="16" fillId="2" borderId="9" xfId="0" applyNumberFormat="1" applyFont="1" applyFill="1" applyBorder="1"/>
    <xf numFmtId="49" fontId="35" fillId="2" borderId="100" xfId="0" applyNumberFormat="1" applyFont="1" applyFill="1" applyBorder="1" applyAlignment="1">
      <alignment horizontal="left"/>
    </xf>
    <xf numFmtId="9" fontId="40" fillId="3" borderId="29" xfId="0" applyNumberFormat="1" applyFont="1" applyFill="1" applyBorder="1" applyAlignment="1">
      <alignment horizontal="center"/>
    </xf>
    <xf numFmtId="165" fontId="39" fillId="2" borderId="103" xfId="0" applyNumberFormat="1" applyFont="1" applyFill="1" applyBorder="1" applyAlignment="1">
      <alignment horizontal="center"/>
    </xf>
    <xf numFmtId="165" fontId="39" fillId="2" borderId="88" xfId="0" applyNumberFormat="1" applyFont="1" applyFill="1" applyBorder="1" applyAlignment="1">
      <alignment horizontal="center"/>
    </xf>
    <xf numFmtId="2" fontId="40" fillId="3" borderId="29" xfId="0" applyNumberFormat="1" applyFont="1" applyFill="1" applyBorder="1" applyAlignment="1">
      <alignment horizontal="center"/>
    </xf>
    <xf numFmtId="49" fontId="42" fillId="2" borderId="9" xfId="0" applyNumberFormat="1" applyFont="1" applyFill="1" applyBorder="1" applyAlignment="1">
      <alignment wrapText="1"/>
    </xf>
    <xf numFmtId="49" fontId="43" fillId="2" borderId="11" xfId="0" applyNumberFormat="1" applyFont="1" applyFill="1" applyBorder="1"/>
    <xf numFmtId="1" fontId="40" fillId="3" borderId="102" xfId="0" applyNumberFormat="1" applyFont="1" applyFill="1" applyBorder="1" applyAlignment="1">
      <alignment horizontal="center"/>
    </xf>
    <xf numFmtId="1" fontId="0" fillId="2" borderId="112" xfId="0" applyNumberFormat="1" applyFill="1" applyBorder="1" applyAlignment="1">
      <alignment horizontal="center"/>
    </xf>
    <xf numFmtId="1" fontId="0" fillId="2" borderId="101" xfId="0" applyNumberFormat="1" applyFill="1" applyBorder="1" applyAlignment="1">
      <alignment horizontal="center"/>
    </xf>
    <xf numFmtId="49" fontId="44" fillId="2" borderId="9" xfId="0" applyNumberFormat="1" applyFont="1" applyFill="1" applyBorder="1"/>
    <xf numFmtId="175" fontId="0" fillId="2" borderId="9" xfId="0" applyNumberFormat="1" applyFill="1" applyBorder="1"/>
    <xf numFmtId="169" fontId="40" fillId="3" borderId="29" xfId="0" applyNumberFormat="1" applyFont="1" applyFill="1" applyBorder="1" applyAlignment="1">
      <alignment horizontal="center"/>
    </xf>
    <xf numFmtId="169" fontId="40" fillId="3" borderId="102" xfId="0" applyNumberFormat="1" applyFont="1" applyFill="1" applyBorder="1" applyAlignment="1">
      <alignment horizontal="center"/>
    </xf>
    <xf numFmtId="165" fontId="16" fillId="2" borderId="58" xfId="0" applyNumberFormat="1" applyFont="1" applyFill="1" applyBorder="1"/>
    <xf numFmtId="165" fontId="35" fillId="2" borderId="21" xfId="0" applyNumberFormat="1" applyFont="1" applyFill="1" applyBorder="1" applyAlignment="1">
      <alignment horizontal="left"/>
    </xf>
    <xf numFmtId="165" fontId="39" fillId="2" borderId="27" xfId="0" applyNumberFormat="1" applyFont="1" applyFill="1" applyBorder="1" applyAlignment="1">
      <alignment horizontal="center"/>
    </xf>
    <xf numFmtId="165" fontId="0" fillId="2" borderId="27" xfId="0" applyNumberFormat="1" applyFill="1" applyBorder="1"/>
    <xf numFmtId="165" fontId="0" fillId="2" borderId="22" xfId="0" applyNumberFormat="1" applyFill="1" applyBorder="1"/>
    <xf numFmtId="171" fontId="29" fillId="2" borderId="27" xfId="0" applyNumberFormat="1" applyFont="1" applyFill="1" applyBorder="1" applyAlignment="1">
      <alignment vertical="center"/>
    </xf>
    <xf numFmtId="171" fontId="29" fillId="2" borderId="28" xfId="0" applyNumberFormat="1" applyFont="1" applyFill="1" applyBorder="1" applyAlignment="1">
      <alignment vertical="center"/>
    </xf>
    <xf numFmtId="169" fontId="29" fillId="2" borderId="30" xfId="0" applyNumberFormat="1" applyFont="1" applyFill="1" applyBorder="1"/>
    <xf numFmtId="165" fontId="35" fillId="2" borderId="27" xfId="0" applyNumberFormat="1" applyFont="1" applyFill="1" applyBorder="1" applyAlignment="1">
      <alignment horizontal="left"/>
    </xf>
    <xf numFmtId="2" fontId="0" fillId="2" borderId="33" xfId="0" applyNumberFormat="1" applyFill="1" applyBorder="1" applyAlignment="1">
      <alignment horizontal="center"/>
    </xf>
    <xf numFmtId="49" fontId="39" fillId="2" borderId="21" xfId="0" applyNumberFormat="1" applyFont="1" applyFill="1" applyBorder="1" applyAlignment="1">
      <alignment horizontal="center"/>
    </xf>
    <xf numFmtId="0" fontId="0" fillId="2" borderId="100" xfId="0" applyFill="1" applyBorder="1"/>
    <xf numFmtId="173" fontId="0" fillId="2" borderId="101" xfId="0" applyNumberFormat="1" applyFill="1" applyBorder="1" applyAlignment="1">
      <alignment horizontal="center"/>
    </xf>
    <xf numFmtId="173" fontId="0" fillId="2" borderId="57" xfId="0" applyNumberFormat="1" applyFill="1" applyBorder="1" applyAlignment="1">
      <alignment horizontal="center"/>
    </xf>
    <xf numFmtId="165" fontId="35" fillId="2" borderId="9" xfId="0" applyNumberFormat="1" applyFont="1" applyFill="1" applyBorder="1" applyAlignment="1">
      <alignment horizontal="left"/>
    </xf>
    <xf numFmtId="9" fontId="40" fillId="3" borderId="102" xfId="0" applyNumberFormat="1" applyFont="1" applyFill="1" applyBorder="1" applyAlignment="1">
      <alignment horizontal="center"/>
    </xf>
    <xf numFmtId="49" fontId="0" fillId="2" borderId="9" xfId="0" applyNumberFormat="1" applyFill="1" applyBorder="1"/>
    <xf numFmtId="9" fontId="0" fillId="2" borderId="11" xfId="0" applyNumberFormat="1" applyFill="1" applyBorder="1"/>
    <xf numFmtId="169" fontId="0" fillId="2" borderId="24" xfId="0" applyNumberForma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169" fontId="0" fillId="2" borderId="26" xfId="0" applyNumberFormat="1" applyFill="1" applyBorder="1"/>
    <xf numFmtId="169" fontId="0" fillId="2" borderId="27" xfId="0" applyNumberFormat="1" applyFill="1" applyBorder="1"/>
    <xf numFmtId="0" fontId="0" fillId="2" borderId="38" xfId="0" applyFill="1" applyBorder="1"/>
    <xf numFmtId="165" fontId="16" fillId="2" borderId="39" xfId="0" applyNumberFormat="1" applyFont="1" applyFill="1" applyBorder="1"/>
    <xf numFmtId="165" fontId="7" fillId="2" borderId="37" xfId="0" applyNumberFormat="1" applyFont="1" applyFill="1" applyBorder="1"/>
    <xf numFmtId="165" fontId="37" fillId="2" borderId="88" xfId="0" applyNumberFormat="1" applyFont="1" applyFill="1" applyBorder="1" applyAlignment="1">
      <alignment vertical="center"/>
    </xf>
    <xf numFmtId="165" fontId="38" fillId="2" borderId="88" xfId="0" applyNumberFormat="1" applyFont="1" applyFill="1" applyBorder="1" applyAlignment="1">
      <alignment vertical="center"/>
    </xf>
    <xf numFmtId="0" fontId="37" fillId="2" borderId="88" xfId="0" applyFont="1" applyFill="1" applyBorder="1" applyAlignment="1">
      <alignment horizontal="center" vertical="center"/>
    </xf>
    <xf numFmtId="165" fontId="37" fillId="2" borderId="21" xfId="0" applyNumberFormat="1" applyFont="1" applyFill="1" applyBorder="1" applyAlignment="1">
      <alignment vertical="center"/>
    </xf>
    <xf numFmtId="165" fontId="38" fillId="2" borderId="21" xfId="0" applyNumberFormat="1" applyFont="1" applyFill="1" applyBorder="1" applyAlignment="1">
      <alignment vertical="center"/>
    </xf>
    <xf numFmtId="0" fontId="37" fillId="2" borderId="44" xfId="0" applyFont="1" applyFill="1" applyBorder="1" applyAlignment="1">
      <alignment horizontal="center" vertical="center"/>
    </xf>
    <xf numFmtId="165" fontId="7" fillId="2" borderId="5" xfId="0" applyNumberFormat="1" applyFont="1" applyFill="1" applyBorder="1"/>
    <xf numFmtId="49" fontId="23" fillId="2" borderId="84" xfId="0" applyNumberFormat="1" applyFont="1" applyFill="1" applyBorder="1"/>
    <xf numFmtId="165" fontId="0" fillId="2" borderId="88" xfId="0" applyNumberFormat="1" applyFill="1" applyBorder="1" applyAlignment="1">
      <alignment horizontal="left"/>
    </xf>
    <xf numFmtId="165" fontId="0" fillId="2" borderId="113" xfId="0" applyNumberFormat="1" applyFill="1" applyBorder="1"/>
    <xf numFmtId="2" fontId="0" fillId="2" borderId="114" xfId="0" applyNumberFormat="1" applyFill="1" applyBorder="1" applyAlignment="1">
      <alignment horizontal="center"/>
    </xf>
    <xf numFmtId="2" fontId="0" fillId="2" borderId="89" xfId="0" applyNumberFormat="1" applyFill="1" applyBorder="1" applyAlignment="1">
      <alignment horizontal="center"/>
    </xf>
    <xf numFmtId="165" fontId="39" fillId="2" borderId="21" xfId="0" applyNumberFormat="1" applyFont="1" applyFill="1" applyBorder="1" applyAlignment="1">
      <alignment horizontal="center"/>
    </xf>
    <xf numFmtId="165" fontId="0" fillId="2" borderId="115" xfId="0" applyNumberFormat="1" applyFill="1" applyBorder="1"/>
    <xf numFmtId="2" fontId="0" fillId="2" borderId="116" xfId="0" applyNumberFormat="1" applyFill="1" applyBorder="1" applyAlignment="1">
      <alignment horizontal="center"/>
    </xf>
    <xf numFmtId="169" fontId="0" fillId="2" borderId="5" xfId="0" applyNumberFormat="1" applyFill="1" applyBorder="1"/>
    <xf numFmtId="169" fontId="40" fillId="3" borderId="29" xfId="0" applyNumberFormat="1" applyFont="1" applyFill="1" applyBorder="1" applyAlignment="1">
      <alignment horizontal="left"/>
    </xf>
    <xf numFmtId="169" fontId="39" fillId="2" borderId="103" xfId="0" applyNumberFormat="1" applyFont="1" applyFill="1" applyBorder="1" applyAlignment="1">
      <alignment horizontal="center"/>
    </xf>
    <xf numFmtId="169" fontId="39" fillId="2" borderId="10" xfId="0" applyNumberFormat="1" applyFont="1" applyFill="1" applyBorder="1" applyAlignment="1">
      <alignment horizontal="center"/>
    </xf>
    <xf numFmtId="169" fontId="0" fillId="2" borderId="115" xfId="0" applyNumberFormat="1" applyFill="1" applyBorder="1"/>
    <xf numFmtId="169" fontId="0" fillId="2" borderId="116" xfId="0" applyNumberFormat="1" applyFill="1" applyBorder="1" applyAlignment="1">
      <alignment horizontal="center"/>
    </xf>
    <xf numFmtId="49" fontId="45" fillId="2" borderId="9" xfId="0" applyNumberFormat="1" applyFont="1" applyFill="1" applyBorder="1"/>
    <xf numFmtId="1" fontId="40" fillId="3" borderId="29" xfId="0" applyNumberFormat="1" applyFont="1" applyFill="1" applyBorder="1" applyAlignment="1">
      <alignment horizontal="center"/>
    </xf>
    <xf numFmtId="170" fontId="40" fillId="3" borderId="29" xfId="0" applyNumberFormat="1" applyFont="1" applyFill="1" applyBorder="1" applyAlignment="1">
      <alignment horizontal="center"/>
    </xf>
    <xf numFmtId="49" fontId="39" fillId="2" borderId="10" xfId="0" applyNumberFormat="1" applyFont="1" applyFill="1" applyBorder="1" applyAlignment="1">
      <alignment horizontal="right"/>
    </xf>
    <xf numFmtId="1" fontId="0" fillId="2" borderId="116" xfId="0" applyNumberFormat="1" applyFill="1" applyBorder="1" applyAlignment="1">
      <alignment horizontal="center"/>
    </xf>
    <xf numFmtId="1" fontId="0" fillId="2" borderId="57" xfId="0" applyNumberFormat="1" applyFill="1" applyBorder="1" applyAlignment="1">
      <alignment horizontal="center"/>
    </xf>
    <xf numFmtId="1" fontId="0" fillId="2" borderId="104" xfId="0" applyNumberFormat="1" applyFill="1" applyBorder="1" applyAlignment="1">
      <alignment horizontal="center"/>
    </xf>
    <xf numFmtId="165" fontId="0" fillId="2" borderId="73" xfId="0" applyNumberFormat="1" applyFill="1" applyBorder="1"/>
    <xf numFmtId="165" fontId="39" fillId="2" borderId="74" xfId="0" applyNumberFormat="1" applyFont="1" applyFill="1" applyBorder="1" applyAlignment="1">
      <alignment horizontal="center"/>
    </xf>
    <xf numFmtId="165" fontId="0" fillId="2" borderId="117" xfId="0" applyNumberFormat="1" applyFill="1" applyBorder="1"/>
    <xf numFmtId="2" fontId="0" fillId="2" borderId="118" xfId="0" applyNumberFormat="1" applyFill="1" applyBorder="1" applyAlignment="1">
      <alignment horizontal="center"/>
    </xf>
    <xf numFmtId="2" fontId="0" fillId="2" borderId="76" xfId="0" applyNumberFormat="1" applyFill="1" applyBorder="1" applyAlignment="1">
      <alignment horizontal="center"/>
    </xf>
    <xf numFmtId="49" fontId="0" fillId="2" borderId="119" xfId="0" applyNumberFormat="1" applyFill="1" applyBorder="1"/>
    <xf numFmtId="165" fontId="0" fillId="2" borderId="120" xfId="0" applyNumberFormat="1" applyFill="1" applyBorder="1"/>
    <xf numFmtId="165" fontId="0" fillId="2" borderId="121" xfId="0" applyNumberFormat="1" applyFill="1" applyBorder="1"/>
    <xf numFmtId="1" fontId="0" fillId="2" borderId="122" xfId="0" applyNumberFormat="1" applyFill="1" applyBorder="1" applyAlignment="1">
      <alignment horizontal="center"/>
    </xf>
    <xf numFmtId="1" fontId="0" fillId="2" borderId="123" xfId="0" applyNumberFormat="1" applyFill="1" applyBorder="1" applyAlignment="1">
      <alignment horizontal="center"/>
    </xf>
    <xf numFmtId="49" fontId="16" fillId="2" borderId="119" xfId="0" applyNumberFormat="1" applyFont="1" applyFill="1" applyBorder="1"/>
    <xf numFmtId="169" fontId="0" fillId="2" borderId="122" xfId="0" applyNumberFormat="1" applyFill="1" applyBorder="1" applyAlignment="1">
      <alignment horizontal="center"/>
    </xf>
    <xf numFmtId="169" fontId="0" fillId="2" borderId="123" xfId="0" applyNumberFormat="1" applyFill="1" applyBorder="1" applyAlignment="1">
      <alignment horizontal="center"/>
    </xf>
    <xf numFmtId="165" fontId="0" fillId="2" borderId="124" xfId="0" applyNumberFormat="1" applyFill="1" applyBorder="1"/>
    <xf numFmtId="170" fontId="31" fillId="2" borderId="125" xfId="0" applyNumberFormat="1" applyFont="1" applyFill="1" applyBorder="1" applyAlignment="1">
      <alignment horizontal="center"/>
    </xf>
    <xf numFmtId="170" fontId="31" fillId="2" borderId="69" xfId="0" applyNumberFormat="1" applyFont="1" applyFill="1" applyBorder="1" applyAlignment="1">
      <alignment horizontal="center"/>
    </xf>
    <xf numFmtId="2" fontId="28" fillId="2" borderId="116" xfId="0" applyNumberFormat="1" applyFont="1" applyFill="1" applyBorder="1" applyAlignment="1">
      <alignment horizontal="center"/>
    </xf>
    <xf numFmtId="2" fontId="28" fillId="2" borderId="57" xfId="0" applyNumberFormat="1" applyFont="1" applyFill="1" applyBorder="1" applyAlignment="1">
      <alignment horizontal="center"/>
    </xf>
    <xf numFmtId="176" fontId="0" fillId="2" borderId="103" xfId="0" applyNumberFormat="1" applyFill="1" applyBorder="1"/>
    <xf numFmtId="176" fontId="0" fillId="2" borderId="10" xfId="0" applyNumberFormat="1" applyFill="1" applyBorder="1"/>
    <xf numFmtId="176" fontId="0" fillId="2" borderId="115" xfId="0" applyNumberFormat="1" applyFill="1" applyBorder="1"/>
    <xf numFmtId="176" fontId="0" fillId="2" borderId="10" xfId="0" applyNumberFormat="1" applyFill="1" applyBorder="1" applyAlignment="1">
      <alignment horizontal="center"/>
    </xf>
    <xf numFmtId="176" fontId="0" fillId="2" borderId="11" xfId="0" applyNumberFormat="1" applyFill="1" applyBorder="1" applyAlignment="1">
      <alignment horizontal="center"/>
    </xf>
    <xf numFmtId="176" fontId="28" fillId="2" borderId="9" xfId="0" applyNumberFormat="1" applyFont="1" applyFill="1" applyBorder="1" applyAlignment="1">
      <alignment horizontal="center"/>
    </xf>
    <xf numFmtId="165" fontId="0" fillId="2" borderId="116" xfId="0" applyNumberFormat="1" applyFill="1" applyBorder="1" applyAlignment="1">
      <alignment horizontal="center"/>
    </xf>
    <xf numFmtId="165" fontId="0" fillId="2" borderId="57" xfId="0" applyNumberFormat="1" applyFill="1" applyBorder="1" applyAlignment="1">
      <alignment horizontal="center"/>
    </xf>
    <xf numFmtId="49" fontId="46" fillId="2" borderId="10" xfId="0" applyNumberFormat="1" applyFont="1" applyFill="1" applyBorder="1"/>
    <xf numFmtId="165" fontId="46" fillId="2" borderId="21" xfId="0" applyNumberFormat="1" applyFont="1" applyFill="1" applyBorder="1" applyAlignment="1">
      <alignment horizontal="center"/>
    </xf>
    <xf numFmtId="165" fontId="46" fillId="2" borderId="10" xfId="0" applyNumberFormat="1" applyFont="1" applyFill="1" applyBorder="1"/>
    <xf numFmtId="165" fontId="46" fillId="2" borderId="115" xfId="0" applyNumberFormat="1" applyFont="1" applyFill="1" applyBorder="1"/>
    <xf numFmtId="165" fontId="46" fillId="2" borderId="116" xfId="0" applyNumberFormat="1" applyFont="1" applyFill="1" applyBorder="1"/>
    <xf numFmtId="165" fontId="46" fillId="2" borderId="57" xfId="0" applyNumberFormat="1" applyFont="1" applyFill="1" applyBorder="1"/>
    <xf numFmtId="165" fontId="0" fillId="2" borderId="57" xfId="0" applyNumberFormat="1" applyFill="1" applyBorder="1"/>
    <xf numFmtId="171" fontId="28" fillId="2" borderId="9" xfId="0" applyNumberFormat="1" applyFont="1" applyFill="1" applyBorder="1" applyAlignment="1">
      <alignment horizontal="center"/>
    </xf>
    <xf numFmtId="171" fontId="0" fillId="2" borderId="10" xfId="0" applyNumberFormat="1" applyFill="1" applyBorder="1" applyAlignment="1">
      <alignment horizontal="center"/>
    </xf>
    <xf numFmtId="171" fontId="0" fillId="2" borderId="11" xfId="0" applyNumberFormat="1" applyFill="1" applyBorder="1" applyAlignment="1">
      <alignment horizontal="center"/>
    </xf>
    <xf numFmtId="171" fontId="0" fillId="2" borderId="116" xfId="0" applyNumberFormat="1" applyFill="1" applyBorder="1" applyAlignment="1">
      <alignment horizontal="center"/>
    </xf>
    <xf numFmtId="171" fontId="0" fillId="2" borderId="57" xfId="0" applyNumberFormat="1" applyFill="1" applyBorder="1" applyAlignment="1">
      <alignment horizontal="center"/>
    </xf>
    <xf numFmtId="3" fontId="0" fillId="2" borderId="116" xfId="0" applyNumberFormat="1" applyFill="1" applyBorder="1" applyAlignment="1">
      <alignment horizontal="center"/>
    </xf>
    <xf numFmtId="165" fontId="0" fillId="2" borderId="116" xfId="0" applyNumberFormat="1" applyFill="1" applyBorder="1"/>
    <xf numFmtId="9" fontId="0" fillId="2" borderId="57" xfId="0" applyNumberFormat="1" applyFill="1" applyBorder="1" applyAlignment="1">
      <alignment horizontal="center"/>
    </xf>
    <xf numFmtId="165" fontId="28" fillId="2" borderId="9" xfId="0" applyNumberFormat="1" applyFon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76" fontId="0" fillId="2" borderId="116" xfId="0" applyNumberFormat="1" applyFill="1" applyBorder="1"/>
    <xf numFmtId="176" fontId="0" fillId="2" borderId="57" xfId="0" applyNumberFormat="1" applyFill="1" applyBorder="1"/>
    <xf numFmtId="165" fontId="0" fillId="2" borderId="126" xfId="0" applyNumberFormat="1" applyFill="1" applyBorder="1" applyAlignment="1">
      <alignment horizontal="center"/>
    </xf>
    <xf numFmtId="165" fontId="0" fillId="2" borderId="60" xfId="0" applyNumberFormat="1" applyFill="1" applyBorder="1" applyAlignment="1">
      <alignment horizontal="center"/>
    </xf>
    <xf numFmtId="177" fontId="40" fillId="3" borderId="114" xfId="0" applyNumberFormat="1" applyFont="1" applyFill="1" applyBorder="1" applyAlignment="1">
      <alignment horizontal="center"/>
    </xf>
    <xf numFmtId="177" fontId="40" fillId="3" borderId="89" xfId="0" applyNumberFormat="1" applyFont="1" applyFill="1" applyBorder="1" applyAlignment="1">
      <alignment horizontal="center"/>
    </xf>
    <xf numFmtId="0" fontId="45" fillId="2" borderId="9" xfId="0" applyFont="1" applyFill="1" applyBorder="1"/>
    <xf numFmtId="177" fontId="0" fillId="2" borderId="122" xfId="0" applyNumberFormat="1" applyFill="1" applyBorder="1" applyAlignment="1">
      <alignment horizontal="center"/>
    </xf>
    <xf numFmtId="177" fontId="0" fillId="2" borderId="123" xfId="0" applyNumberFormat="1" applyFill="1" applyBorder="1" applyAlignment="1">
      <alignment horizontal="center"/>
    </xf>
    <xf numFmtId="165" fontId="24" fillId="2" borderId="9" xfId="0" applyNumberFormat="1" applyFont="1" applyFill="1" applyBorder="1"/>
    <xf numFmtId="169" fontId="46" fillId="2" borderId="116" xfId="0" applyNumberFormat="1" applyFont="1" applyFill="1" applyBorder="1"/>
    <xf numFmtId="169" fontId="46" fillId="2" borderId="57" xfId="0" applyNumberFormat="1" applyFont="1" applyFill="1" applyBorder="1"/>
    <xf numFmtId="165" fontId="0" fillId="2" borderId="127" xfId="0" applyNumberFormat="1" applyFill="1" applyBorder="1" applyAlignment="1">
      <alignment horizontal="center"/>
    </xf>
    <xf numFmtId="165" fontId="24" fillId="2" borderId="73" xfId="0" applyNumberFormat="1" applyFont="1" applyFill="1" applyBorder="1"/>
    <xf numFmtId="169" fontId="0" fillId="2" borderId="21" xfId="0" applyNumberFormat="1" applyFill="1" applyBorder="1"/>
    <xf numFmtId="165" fontId="0" fillId="2" borderId="128" xfId="0" applyNumberFormat="1" applyFill="1" applyBorder="1" applyAlignment="1">
      <alignment horizontal="center"/>
    </xf>
    <xf numFmtId="177" fontId="0" fillId="2" borderId="129" xfId="0" applyNumberFormat="1" applyFill="1" applyBorder="1" applyAlignment="1">
      <alignment horizontal="center"/>
    </xf>
    <xf numFmtId="0" fontId="40" fillId="3" borderId="102" xfId="0" applyNumberFormat="1" applyFont="1" applyFill="1" applyBorder="1" applyAlignment="1">
      <alignment horizontal="right"/>
    </xf>
    <xf numFmtId="165" fontId="0" fillId="2" borderId="130" xfId="0" applyNumberFormat="1" applyFill="1" applyBorder="1" applyAlignment="1">
      <alignment horizontal="center"/>
    </xf>
    <xf numFmtId="169" fontId="0" fillId="2" borderId="118" xfId="0" applyNumberFormat="1" applyFill="1" applyBorder="1" applyAlignment="1">
      <alignment horizontal="center"/>
    </xf>
    <xf numFmtId="169" fontId="0" fillId="2" borderId="76" xfId="0" applyNumberFormat="1" applyFill="1" applyBorder="1" applyAlignment="1">
      <alignment horizontal="center"/>
    </xf>
    <xf numFmtId="1" fontId="0" fillId="2" borderId="129" xfId="0" applyNumberFormat="1" applyFill="1" applyBorder="1" applyAlignment="1">
      <alignment horizontal="center"/>
    </xf>
    <xf numFmtId="169" fontId="0" fillId="2" borderId="129" xfId="0" applyNumberFormat="1" applyFill="1" applyBorder="1" applyAlignment="1">
      <alignment horizontal="center"/>
    </xf>
    <xf numFmtId="165" fontId="31" fillId="2" borderId="73" xfId="0" applyNumberFormat="1" applyFont="1" applyFill="1" applyBorder="1" applyAlignment="1">
      <alignment horizontal="left"/>
    </xf>
    <xf numFmtId="170" fontId="31" fillId="2" borderId="118" xfId="0" applyNumberFormat="1" applyFont="1" applyFill="1" applyBorder="1" applyAlignment="1">
      <alignment horizontal="center"/>
    </xf>
    <xf numFmtId="170" fontId="31" fillId="2" borderId="76" xfId="0" applyNumberFormat="1" applyFont="1" applyFill="1" applyBorder="1" applyAlignment="1">
      <alignment horizontal="center"/>
    </xf>
    <xf numFmtId="165" fontId="47" fillId="2" borderId="5" xfId="0" applyNumberFormat="1" applyFont="1" applyFill="1" applyBorder="1"/>
    <xf numFmtId="49" fontId="47" fillId="2" borderId="119" xfId="0" applyNumberFormat="1" applyFont="1" applyFill="1" applyBorder="1"/>
    <xf numFmtId="165" fontId="47" fillId="2" borderId="120" xfId="0" applyNumberFormat="1" applyFont="1" applyFill="1" applyBorder="1"/>
    <xf numFmtId="165" fontId="47" fillId="2" borderId="121" xfId="0" applyNumberFormat="1" applyFont="1" applyFill="1" applyBorder="1"/>
    <xf numFmtId="177" fontId="47" fillId="2" borderId="122" xfId="0" applyNumberFormat="1" applyFont="1" applyFill="1" applyBorder="1" applyAlignment="1">
      <alignment horizontal="center"/>
    </xf>
    <xf numFmtId="177" fontId="47" fillId="2" borderId="123" xfId="0" applyNumberFormat="1" applyFont="1" applyFill="1" applyBorder="1" applyAlignment="1">
      <alignment horizontal="center"/>
    </xf>
    <xf numFmtId="0" fontId="48" fillId="2" borderId="9" xfId="0" applyFont="1" applyFill="1" applyBorder="1"/>
    <xf numFmtId="0" fontId="47" fillId="2" borderId="10" xfId="0" applyFont="1" applyFill="1" applyBorder="1"/>
    <xf numFmtId="0" fontId="47" fillId="2" borderId="11" xfId="0" applyFont="1" applyFill="1" applyBorder="1"/>
    <xf numFmtId="165" fontId="31" fillId="2" borderId="9" xfId="0" applyNumberFormat="1" applyFont="1" applyFill="1" applyBorder="1" applyAlignment="1">
      <alignment horizontal="left"/>
    </xf>
    <xf numFmtId="170" fontId="31" fillId="2" borderId="116" xfId="0" applyNumberFormat="1" applyFont="1" applyFill="1" applyBorder="1" applyAlignment="1">
      <alignment horizontal="center"/>
    </xf>
    <xf numFmtId="170" fontId="31" fillId="2" borderId="57" xfId="0" applyNumberFormat="1" applyFont="1" applyFill="1" applyBorder="1" applyAlignment="1">
      <alignment horizontal="center"/>
    </xf>
    <xf numFmtId="49" fontId="39" fillId="2" borderId="115" xfId="0" applyNumberFormat="1" applyFont="1" applyFill="1" applyBorder="1" applyAlignment="1">
      <alignment horizontal="right"/>
    </xf>
    <xf numFmtId="165" fontId="24" fillId="2" borderId="58" xfId="0" applyNumberFormat="1" applyFont="1" applyFill="1" applyBorder="1"/>
    <xf numFmtId="165" fontId="0" fillId="2" borderId="131" xfId="0" applyNumberFormat="1" applyFill="1" applyBorder="1"/>
    <xf numFmtId="169" fontId="0" fillId="2" borderId="126" xfId="0" applyNumberFormat="1" applyFill="1" applyBorder="1" applyAlignment="1">
      <alignment horizontal="center"/>
    </xf>
    <xf numFmtId="171" fontId="29" fillId="2" borderId="62" xfId="0" applyNumberFormat="1" applyFont="1" applyFill="1" applyBorder="1" applyAlignment="1">
      <alignment vertical="center"/>
    </xf>
    <xf numFmtId="171" fontId="29" fillId="2" borderId="132" xfId="0" applyNumberFormat="1" applyFont="1" applyFill="1" applyBorder="1" applyAlignment="1">
      <alignment vertical="center"/>
    </xf>
    <xf numFmtId="169" fontId="29" fillId="2" borderId="133" xfId="0" applyNumberFormat="1" applyFont="1" applyFill="1" applyBorder="1"/>
    <xf numFmtId="165" fontId="0" fillId="2" borderId="78" xfId="0" applyNumberFormat="1" applyFill="1" applyBorder="1"/>
    <xf numFmtId="165" fontId="0" fillId="2" borderId="79" xfId="0" applyNumberFormat="1" applyFill="1" applyBorder="1"/>
    <xf numFmtId="170" fontId="31" fillId="2" borderId="134" xfId="0" applyNumberFormat="1" applyFont="1" applyFill="1" applyBorder="1" applyAlignment="1">
      <alignment horizontal="center"/>
    </xf>
    <xf numFmtId="165" fontId="24" fillId="2" borderId="135" xfId="0" applyNumberFormat="1" applyFont="1" applyFill="1" applyBorder="1"/>
    <xf numFmtId="165" fontId="0" fillId="2" borderId="135" xfId="0" applyNumberFormat="1" applyFill="1" applyBorder="1" applyAlignment="1">
      <alignment horizontal="left"/>
    </xf>
    <xf numFmtId="165" fontId="39" fillId="2" borderId="135" xfId="0" applyNumberFormat="1" applyFont="1" applyFill="1" applyBorder="1" applyAlignment="1">
      <alignment horizontal="center"/>
    </xf>
    <xf numFmtId="165" fontId="0" fillId="2" borderId="135" xfId="0" applyNumberFormat="1" applyFill="1" applyBorder="1"/>
    <xf numFmtId="2" fontId="0" fillId="2" borderId="136" xfId="0" applyNumberFormat="1" applyFill="1" applyBorder="1" applyAlignment="1">
      <alignment horizontal="center"/>
    </xf>
    <xf numFmtId="49" fontId="39" fillId="2" borderId="137" xfId="0" applyNumberFormat="1" applyFont="1" applyFill="1" applyBorder="1" applyAlignment="1">
      <alignment horizontal="right"/>
    </xf>
    <xf numFmtId="165" fontId="39" fillId="2" borderId="137" xfId="0" applyNumberFormat="1" applyFont="1" applyFill="1" applyBorder="1" applyAlignment="1">
      <alignment horizontal="center"/>
    </xf>
    <xf numFmtId="165" fontId="0" fillId="2" borderId="138" xfId="0" applyNumberFormat="1" applyFill="1" applyBorder="1"/>
    <xf numFmtId="169" fontId="0" fillId="2" borderId="139" xfId="0" applyNumberFormat="1" applyFill="1" applyBorder="1" applyAlignment="1">
      <alignment horizontal="center"/>
    </xf>
    <xf numFmtId="169" fontId="0" fillId="2" borderId="81" xfId="0" applyNumberFormat="1" applyFill="1" applyBorder="1" applyAlignment="1">
      <alignment horizontal="center"/>
    </xf>
    <xf numFmtId="49" fontId="39" fillId="2" borderId="140" xfId="0" applyNumberFormat="1" applyFont="1" applyFill="1" applyBorder="1" applyAlignment="1">
      <alignment horizontal="right"/>
    </xf>
    <xf numFmtId="165" fontId="39" fillId="2" borderId="140" xfId="0" applyNumberFormat="1" applyFont="1" applyFill="1" applyBorder="1" applyAlignment="1">
      <alignment horizontal="center"/>
    </xf>
    <xf numFmtId="165" fontId="0" fillId="2" borderId="141" xfId="0" applyNumberFormat="1" applyFill="1" applyBorder="1"/>
    <xf numFmtId="169" fontId="0" fillId="2" borderId="142" xfId="0" applyNumberFormat="1" applyFill="1" applyBorder="1" applyAlignment="1">
      <alignment horizontal="center"/>
    </xf>
    <xf numFmtId="169" fontId="0" fillId="2" borderId="82" xfId="0" applyNumberFormat="1" applyFill="1" applyBorder="1" applyAlignment="1">
      <alignment horizontal="center"/>
    </xf>
    <xf numFmtId="169" fontId="40" fillId="3" borderId="102" xfId="0" applyNumberFormat="1" applyFont="1" applyFill="1" applyBorder="1" applyAlignment="1">
      <alignment horizontal="left"/>
    </xf>
    <xf numFmtId="165" fontId="39" fillId="2" borderId="10" xfId="0" applyNumberFormat="1" applyFont="1" applyFill="1" applyBorder="1" applyAlignment="1">
      <alignment horizontal="right"/>
    </xf>
    <xf numFmtId="10" fontId="40" fillId="3" borderId="102" xfId="0" applyNumberFormat="1" applyFont="1" applyFill="1" applyBorder="1" applyAlignment="1">
      <alignment horizontal="center"/>
    </xf>
    <xf numFmtId="165" fontId="39" fillId="2" borderId="115" xfId="0" applyNumberFormat="1" applyFont="1" applyFill="1" applyBorder="1" applyAlignment="1">
      <alignment horizontal="right"/>
    </xf>
    <xf numFmtId="2" fontId="0" fillId="2" borderId="126" xfId="0" applyNumberFormat="1" applyFill="1" applyBorder="1" applyAlignment="1">
      <alignment horizontal="center"/>
    </xf>
    <xf numFmtId="169" fontId="29" fillId="2" borderId="143" xfId="0" applyNumberFormat="1" applyFont="1" applyFill="1" applyBorder="1"/>
    <xf numFmtId="169" fontId="29" fillId="2" borderId="62" xfId="0" applyNumberFormat="1" applyFont="1" applyFill="1" applyBorder="1"/>
    <xf numFmtId="169" fontId="29" fillId="2" borderId="72" xfId="0" applyNumberFormat="1" applyFont="1" applyFill="1" applyBorder="1"/>
    <xf numFmtId="165" fontId="0" fillId="2" borderId="144" xfId="0" applyNumberFormat="1" applyFill="1" applyBorder="1"/>
    <xf numFmtId="169" fontId="0" fillId="2" borderId="145" xfId="0" applyNumberFormat="1" applyFill="1" applyBorder="1" applyAlignment="1">
      <alignment horizontal="center"/>
    </xf>
    <xf numFmtId="165" fontId="0" fillId="2" borderId="146" xfId="0" applyNumberFormat="1" applyFill="1" applyBorder="1"/>
    <xf numFmtId="165" fontId="0" fillId="2" borderId="147" xfId="0" applyNumberFormat="1" applyFill="1" applyBorder="1"/>
    <xf numFmtId="165" fontId="24" fillId="2" borderId="10" xfId="0" applyNumberFormat="1" applyFont="1" applyFill="1" applyBorder="1"/>
    <xf numFmtId="2" fontId="0" fillId="2" borderId="10" xfId="0" applyNumberFormat="1" applyFill="1" applyBorder="1" applyAlignment="1">
      <alignment horizontal="center"/>
    </xf>
    <xf numFmtId="165" fontId="0" fillId="2" borderId="39" xfId="0" applyNumberFormat="1" applyFill="1" applyBorder="1"/>
    <xf numFmtId="165" fontId="7" fillId="2" borderId="95" xfId="0" applyNumberFormat="1" applyFont="1" applyFill="1" applyBorder="1"/>
    <xf numFmtId="165" fontId="0" fillId="2" borderId="88" xfId="0" applyNumberFormat="1" applyFill="1" applyBorder="1"/>
    <xf numFmtId="2" fontId="0" fillId="2" borderId="90" xfId="0" applyNumberFormat="1" applyFill="1" applyBorder="1" applyAlignment="1">
      <alignment horizontal="center"/>
    </xf>
    <xf numFmtId="49" fontId="39" fillId="2" borderId="100" xfId="0" applyNumberFormat="1" applyFont="1" applyFill="1" applyBorder="1" applyAlignment="1">
      <alignment horizontal="center"/>
    </xf>
    <xf numFmtId="168" fontId="0" fillId="2" borderId="12" xfId="0" applyNumberFormat="1" applyFill="1" applyBorder="1" applyAlignment="1">
      <alignment horizontal="center"/>
    </xf>
    <xf numFmtId="168" fontId="0" fillId="2" borderId="57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75" xfId="0" applyNumberFormat="1" applyFill="1" applyBorder="1" applyAlignment="1">
      <alignment horizontal="center"/>
    </xf>
    <xf numFmtId="169" fontId="0" fillId="2" borderId="68" xfId="0" applyNumberFormat="1" applyFill="1" applyBorder="1" applyAlignment="1">
      <alignment horizontal="center"/>
    </xf>
    <xf numFmtId="169" fontId="0" fillId="2" borderId="12" xfId="0" applyNumberFormat="1" applyFill="1" applyBorder="1" applyAlignment="1">
      <alignment horizontal="center"/>
    </xf>
    <xf numFmtId="168" fontId="0" fillId="2" borderId="48" xfId="0" applyNumberFormat="1" applyFill="1" applyBorder="1" applyAlignment="1">
      <alignment horizontal="center"/>
    </xf>
    <xf numFmtId="168" fontId="0" fillId="2" borderId="70" xfId="0" applyNumberFormat="1" applyFill="1" applyBorder="1" applyAlignment="1">
      <alignment horizontal="center"/>
    </xf>
    <xf numFmtId="165" fontId="0" fillId="2" borderId="95" xfId="0" applyNumberFormat="1" applyFill="1" applyBorder="1"/>
    <xf numFmtId="168" fontId="0" fillId="2" borderId="90" xfId="0" applyNumberFormat="1" applyFill="1" applyBorder="1" applyAlignment="1">
      <alignment horizontal="center"/>
    </xf>
    <xf numFmtId="168" fontId="0" fillId="2" borderId="89" xfId="0" applyNumberFormat="1" applyFill="1" applyBorder="1" applyAlignment="1">
      <alignment horizontal="center"/>
    </xf>
    <xf numFmtId="168" fontId="0" fillId="2" borderId="59" xfId="0" applyNumberFormat="1" applyFill="1" applyBorder="1" applyAlignment="1">
      <alignment horizontal="center"/>
    </xf>
    <xf numFmtId="168" fontId="0" fillId="2" borderId="60" xfId="0" applyNumberFormat="1" applyFill="1" applyBorder="1" applyAlignment="1">
      <alignment horizontal="center"/>
    </xf>
    <xf numFmtId="9" fontId="40" fillId="3" borderId="102" xfId="0" applyNumberFormat="1" applyFont="1" applyFill="1" applyBorder="1" applyAlignment="1">
      <alignment horizontal="left"/>
    </xf>
    <xf numFmtId="165" fontId="16" fillId="2" borderId="73" xfId="0" applyNumberFormat="1" applyFont="1" applyFill="1" applyBorder="1"/>
    <xf numFmtId="165" fontId="39" fillId="2" borderId="74" xfId="0" applyNumberFormat="1" applyFont="1" applyFill="1" applyBorder="1" applyAlignment="1">
      <alignment horizontal="right"/>
    </xf>
    <xf numFmtId="169" fontId="0" fillId="2" borderId="75" xfId="0" applyNumberFormat="1" applyFill="1" applyBorder="1" applyAlignment="1">
      <alignment horizontal="center"/>
    </xf>
    <xf numFmtId="49" fontId="16" fillId="2" borderId="10" xfId="0" applyNumberFormat="1" applyFont="1" applyFill="1" applyBorder="1"/>
    <xf numFmtId="2" fontId="0" fillId="2" borderId="59" xfId="0" applyNumberFormat="1" applyFill="1" applyBorder="1" applyAlignment="1">
      <alignment horizontal="center"/>
    </xf>
    <xf numFmtId="165" fontId="24" fillId="2" borderId="74" xfId="0" applyNumberFormat="1" applyFont="1" applyFill="1" applyBorder="1"/>
    <xf numFmtId="165" fontId="24" fillId="2" borderId="21" xfId="0" applyNumberFormat="1" applyFont="1" applyFill="1" applyBorder="1"/>
    <xf numFmtId="2" fontId="0" fillId="2" borderId="48" xfId="0" applyNumberFormat="1" applyFill="1" applyBorder="1" applyAlignment="1">
      <alignment horizontal="center"/>
    </xf>
    <xf numFmtId="2" fontId="0" fillId="2" borderId="70" xfId="0" applyNumberFormat="1" applyFill="1" applyBorder="1" applyAlignment="1">
      <alignment horizontal="center"/>
    </xf>
    <xf numFmtId="165" fontId="24" fillId="2" borderId="88" xfId="0" applyNumberFormat="1" applyFont="1" applyFill="1" applyBorder="1"/>
    <xf numFmtId="2" fontId="0" fillId="2" borderId="87" xfId="0" applyNumberFormat="1" applyFill="1" applyBorder="1" applyAlignment="1">
      <alignment horizontal="center"/>
    </xf>
    <xf numFmtId="2" fontId="0" fillId="2" borderId="86" xfId="0" applyNumberFormat="1" applyFill="1" applyBorder="1" applyAlignment="1">
      <alignment horizontal="center"/>
    </xf>
    <xf numFmtId="49" fontId="16" fillId="2" borderId="67" xfId="0" applyNumberFormat="1" applyFont="1" applyFill="1" applyBorder="1"/>
    <xf numFmtId="175" fontId="49" fillId="2" borderId="9" xfId="0" applyNumberFormat="1" applyFont="1" applyFill="1" applyBorder="1"/>
    <xf numFmtId="0" fontId="49" fillId="2" borderId="9" xfId="0" applyFont="1" applyFill="1" applyBorder="1"/>
    <xf numFmtId="0" fontId="50" fillId="2" borderId="9" xfId="0" applyFont="1" applyFill="1" applyBorder="1"/>
    <xf numFmtId="49" fontId="49" fillId="2" borderId="9" xfId="0" applyNumberFormat="1" applyFont="1" applyFill="1" applyBorder="1"/>
    <xf numFmtId="0" fontId="40" fillId="3" borderId="102" xfId="0" applyNumberFormat="1" applyFont="1" applyFill="1" applyBorder="1" applyAlignment="1">
      <alignment horizontal="center"/>
    </xf>
    <xf numFmtId="165" fontId="0" fillId="2" borderId="10" xfId="0" applyNumberFormat="1" applyFill="1" applyBorder="1" applyAlignment="1">
      <alignment horizontal="right"/>
    </xf>
    <xf numFmtId="164" fontId="40" fillId="3" borderId="102" xfId="0" applyNumberFormat="1" applyFont="1" applyFill="1" applyBorder="1" applyAlignment="1">
      <alignment horizontal="center"/>
    </xf>
    <xf numFmtId="169" fontId="0" fillId="2" borderId="116" xfId="0" applyNumberFormat="1" applyFill="1" applyBorder="1"/>
    <xf numFmtId="169" fontId="50" fillId="2" borderId="116" xfId="0" applyNumberFormat="1" applyFont="1" applyFill="1" applyBorder="1" applyAlignment="1">
      <alignment horizontal="center"/>
    </xf>
    <xf numFmtId="0" fontId="51" fillId="2" borderId="9" xfId="0" applyFont="1" applyFill="1" applyBorder="1"/>
    <xf numFmtId="49" fontId="51" fillId="2" borderId="9" xfId="0" applyNumberFormat="1" applyFont="1" applyFill="1" applyBorder="1"/>
    <xf numFmtId="49" fontId="46" fillId="2" borderId="10" xfId="0" applyNumberFormat="1" applyFont="1" applyFill="1" applyBorder="1" applyAlignment="1">
      <alignment horizontal="left"/>
    </xf>
    <xf numFmtId="10" fontId="40" fillId="3" borderId="102" xfId="1" applyNumberFormat="1" applyFont="1" applyFill="1" applyBorder="1" applyAlignment="1">
      <alignment horizontal="center"/>
    </xf>
    <xf numFmtId="49" fontId="50" fillId="2" borderId="10" xfId="0" applyNumberFormat="1" applyFont="1" applyFill="1" applyBorder="1" applyAlignment="1">
      <alignment horizontal="left"/>
    </xf>
    <xf numFmtId="169" fontId="19" fillId="2" borderId="74" xfId="0" applyNumberFormat="1" applyFont="1" applyFill="1" applyBorder="1"/>
    <xf numFmtId="49" fontId="21" fillId="2" borderId="148" xfId="0" applyNumberFormat="1" applyFont="1" applyFill="1" applyBorder="1" applyAlignment="1">
      <alignment horizontal="center" vertical="center"/>
    </xf>
    <xf numFmtId="0" fontId="0" fillId="2" borderId="149" xfId="0" applyFill="1" applyBorder="1"/>
    <xf numFmtId="169" fontId="0" fillId="2" borderId="150" xfId="0" applyNumberFormat="1" applyFill="1" applyBorder="1"/>
    <xf numFmtId="169" fontId="0" fillId="2" borderId="151" xfId="0" applyNumberFormat="1" applyFill="1" applyBorder="1"/>
    <xf numFmtId="168" fontId="0" fillId="2" borderId="152" xfId="0" applyNumberFormat="1" applyFill="1" applyBorder="1"/>
    <xf numFmtId="0" fontId="0" fillId="2" borderId="150" xfId="0" applyFill="1" applyBorder="1"/>
    <xf numFmtId="169" fontId="19" fillId="2" borderId="151" xfId="0" applyNumberFormat="1" applyFont="1" applyFill="1" applyBorder="1"/>
    <xf numFmtId="169" fontId="0" fillId="2" borderId="152" xfId="0" applyNumberFormat="1" applyFill="1" applyBorder="1"/>
    <xf numFmtId="169" fontId="0" fillId="2" borderId="153" xfId="0" applyNumberFormat="1" applyFill="1" applyBorder="1"/>
    <xf numFmtId="169" fontId="29" fillId="2" borderId="154" xfId="0" applyNumberFormat="1" applyFont="1" applyFill="1" applyBorder="1"/>
    <xf numFmtId="0" fontId="0" fillId="2" borderId="155" xfId="0" applyFill="1" applyBorder="1"/>
    <xf numFmtId="168" fontId="22" fillId="2" borderId="156" xfId="0" applyNumberFormat="1" applyFont="1" applyFill="1" applyBorder="1"/>
    <xf numFmtId="168" fontId="28" fillId="2" borderId="157" xfId="0" applyNumberFormat="1" applyFont="1" applyFill="1" applyBorder="1"/>
    <xf numFmtId="169" fontId="29" fillId="2" borderId="158" xfId="0" applyNumberFormat="1" applyFont="1" applyFill="1" applyBorder="1"/>
    <xf numFmtId="170" fontId="32" fillId="2" borderId="159" xfId="0" applyNumberFormat="1" applyFont="1" applyFill="1" applyBorder="1" applyAlignment="1">
      <alignment horizontal="right"/>
    </xf>
    <xf numFmtId="0" fontId="0" fillId="2" borderId="157" xfId="0" applyFill="1" applyBorder="1"/>
    <xf numFmtId="169" fontId="0" fillId="2" borderId="160" xfId="0" applyNumberFormat="1" applyFill="1" applyBorder="1"/>
    <xf numFmtId="49" fontId="23" fillId="2" borderId="26" xfId="0" applyNumberFormat="1" applyFont="1" applyFill="1" applyBorder="1" applyAlignment="1">
      <alignment horizontal="center"/>
    </xf>
    <xf numFmtId="0" fontId="0" fillId="0" borderId="157" xfId="0" applyNumberFormat="1" applyBorder="1"/>
    <xf numFmtId="49" fontId="23" fillId="2" borderId="162" xfId="0" applyNumberFormat="1" applyFont="1" applyFill="1" applyBorder="1" applyAlignment="1">
      <alignment horizontal="center"/>
    </xf>
    <xf numFmtId="9" fontId="40" fillId="3" borderId="98" xfId="0" applyNumberFormat="1" applyFont="1" applyFill="1" applyBorder="1" applyAlignment="1">
      <alignment horizontal="left"/>
    </xf>
    <xf numFmtId="165" fontId="0" fillId="2" borderId="161" xfId="0" applyNumberFormat="1" applyFill="1" applyBorder="1"/>
    <xf numFmtId="165" fontId="0" fillId="2" borderId="163" xfId="0" applyNumberFormat="1" applyFill="1" applyBorder="1"/>
    <xf numFmtId="165" fontId="0" fillId="2" borderId="164" xfId="0" applyNumberFormat="1" applyFill="1" applyBorder="1"/>
    <xf numFmtId="165" fontId="0" fillId="2" borderId="165" xfId="0" applyNumberFormat="1" applyFill="1" applyBorder="1"/>
    <xf numFmtId="49" fontId="39" fillId="2" borderId="163" xfId="0" applyNumberFormat="1" applyFont="1" applyFill="1" applyBorder="1" applyAlignment="1">
      <alignment horizontal="right"/>
    </xf>
    <xf numFmtId="165" fontId="0" fillId="2" borderId="166" xfId="0" applyNumberFormat="1" applyFill="1" applyBorder="1"/>
    <xf numFmtId="165" fontId="23" fillId="2" borderId="167" xfId="0" applyNumberFormat="1" applyFont="1" applyFill="1" applyBorder="1"/>
    <xf numFmtId="169" fontId="40" fillId="3" borderId="28" xfId="0" applyNumberFormat="1" applyFont="1" applyFill="1" applyBorder="1" applyAlignment="1">
      <alignment horizontal="left"/>
    </xf>
    <xf numFmtId="169" fontId="40" fillId="3" borderId="98" xfId="0" applyNumberFormat="1" applyFont="1" applyFill="1" applyBorder="1" applyAlignment="1">
      <alignment horizontal="left"/>
    </xf>
    <xf numFmtId="49" fontId="23" fillId="2" borderId="27" xfId="0" applyNumberFormat="1" applyFont="1" applyFill="1" applyBorder="1"/>
    <xf numFmtId="165" fontId="0" fillId="2" borderId="168" xfId="0" applyNumberFormat="1" applyFill="1" applyBorder="1"/>
    <xf numFmtId="49" fontId="16" fillId="2" borderId="169" xfId="0" applyNumberFormat="1" applyFont="1" applyFill="1" applyBorder="1"/>
    <xf numFmtId="165" fontId="0" fillId="2" borderId="170" xfId="0" applyNumberFormat="1" applyFill="1" applyBorder="1"/>
    <xf numFmtId="165" fontId="0" fillId="2" borderId="171" xfId="0" applyNumberFormat="1" applyFill="1" applyBorder="1"/>
    <xf numFmtId="169" fontId="0" fillId="2" borderId="172" xfId="0" applyNumberFormat="1" applyFill="1" applyBorder="1" applyAlignment="1">
      <alignment horizontal="center"/>
    </xf>
    <xf numFmtId="169" fontId="0" fillId="2" borderId="173" xfId="0" applyNumberFormat="1" applyFill="1" applyBorder="1" applyAlignment="1">
      <alignment horizontal="center"/>
    </xf>
    <xf numFmtId="0" fontId="0" fillId="0" borderId="10" xfId="0" applyNumberFormat="1" applyBorder="1"/>
    <xf numFmtId="168" fontId="25" fillId="2" borderId="10" xfId="0" applyNumberFormat="1" applyFont="1" applyFill="1" applyBorder="1"/>
    <xf numFmtId="168" fontId="25" fillId="2" borderId="12" xfId="0" applyNumberFormat="1" applyFont="1" applyFill="1" applyBorder="1"/>
    <xf numFmtId="168" fontId="25" fillId="2" borderId="57" xfId="0" applyNumberFormat="1" applyFont="1" applyFill="1" applyBorder="1"/>
    <xf numFmtId="168" fontId="24" fillId="2" borderId="7" xfId="0" applyNumberFormat="1" applyFont="1" applyFill="1" applyBorder="1"/>
    <xf numFmtId="168" fontId="33" fillId="2" borderId="7" xfId="0" applyNumberFormat="1" applyFont="1" applyFill="1" applyBorder="1" applyAlignment="1">
      <alignment vertical="center"/>
    </xf>
    <xf numFmtId="168" fontId="27" fillId="2" borderId="8" xfId="0" applyNumberFormat="1" applyFont="1" applyFill="1" applyBorder="1" applyAlignment="1">
      <alignment horizontal="right"/>
    </xf>
    <xf numFmtId="168" fontId="34" fillId="2" borderId="56" xfId="0" applyNumberFormat="1" applyFont="1" applyFill="1" applyBorder="1" applyAlignment="1">
      <alignment vertical="center"/>
    </xf>
    <xf numFmtId="0" fontId="0" fillId="2" borderId="56" xfId="0" applyFill="1" applyBorder="1"/>
    <xf numFmtId="168" fontId="0" fillId="2" borderId="55" xfId="0" applyNumberFormat="1" applyFill="1" applyBorder="1"/>
    <xf numFmtId="49" fontId="8" fillId="2" borderId="9" xfId="0" applyNumberFormat="1" applyFont="1" applyFill="1" applyBorder="1" applyAlignment="1">
      <alignment wrapText="1"/>
    </xf>
    <xf numFmtId="166" fontId="8" fillId="2" borderId="10" xfId="0" applyNumberFormat="1" applyFont="1" applyFill="1" applyBorder="1" applyAlignment="1">
      <alignment wrapText="1"/>
    </xf>
    <xf numFmtId="0" fontId="5" fillId="2" borderId="6" xfId="0" applyNumberFormat="1" applyFont="1" applyFill="1" applyBorder="1"/>
    <xf numFmtId="0" fontId="20" fillId="2" borderId="10" xfId="0" applyNumberFormat="1" applyFont="1" applyFill="1" applyBorder="1" applyAlignment="1">
      <alignment vertical="center"/>
    </xf>
    <xf numFmtId="0" fontId="23" fillId="2" borderId="92" xfId="0" applyNumberFormat="1" applyFont="1" applyFill="1" applyBorder="1"/>
    <xf numFmtId="179" fontId="59" fillId="0" borderId="10" xfId="3" applyFont="1"/>
    <xf numFmtId="180" fontId="59" fillId="0" borderId="174" xfId="3" applyNumberFormat="1" applyFont="1" applyBorder="1"/>
    <xf numFmtId="180" fontId="59" fillId="0" borderId="175" xfId="3" applyNumberFormat="1" applyFont="1" applyBorder="1"/>
    <xf numFmtId="180" fontId="59" fillId="0" borderId="176" xfId="3" applyNumberFormat="1" applyFont="1" applyBorder="1"/>
    <xf numFmtId="180" fontId="60" fillId="4" borderId="177" xfId="3" applyNumberFormat="1" applyFont="1" applyFill="1" applyBorder="1" applyAlignment="1">
      <alignment horizontal="left" indent="1"/>
    </xf>
    <xf numFmtId="179" fontId="61" fillId="0" borderId="178" xfId="3" applyFont="1" applyBorder="1" applyAlignment="1">
      <alignment vertical="center"/>
    </xf>
    <xf numFmtId="179" fontId="59" fillId="0" borderId="179" xfId="3" applyFont="1" applyBorder="1" applyAlignment="1">
      <alignment horizontal="left" vertical="center" indent="1"/>
    </xf>
    <xf numFmtId="179" fontId="62" fillId="5" borderId="10" xfId="3" applyFont="1" applyFill="1"/>
    <xf numFmtId="180" fontId="59" fillId="0" borderId="180" xfId="3" applyNumberFormat="1" applyFont="1" applyBorder="1"/>
    <xf numFmtId="180" fontId="59" fillId="0" borderId="181" xfId="3" applyNumberFormat="1" applyFont="1" applyBorder="1"/>
    <xf numFmtId="180" fontId="59" fillId="0" borderId="182" xfId="3" applyNumberFormat="1" applyFont="1" applyBorder="1"/>
    <xf numFmtId="179" fontId="61" fillId="0" borderId="10" xfId="3" applyFont="1" applyAlignment="1">
      <alignment vertical="center"/>
    </xf>
    <xf numFmtId="179" fontId="59" fillId="0" borderId="183" xfId="3" applyFont="1" applyBorder="1" applyAlignment="1">
      <alignment horizontal="left" vertical="center" indent="1"/>
    </xf>
    <xf numFmtId="180" fontId="63" fillId="0" borderId="180" xfId="3" applyNumberFormat="1" applyFont="1" applyBorder="1"/>
    <xf numFmtId="180" fontId="63" fillId="0" borderId="181" xfId="3" applyNumberFormat="1" applyFont="1" applyBorder="1"/>
    <xf numFmtId="180" fontId="63" fillId="0" borderId="182" xfId="3" applyNumberFormat="1" applyFont="1" applyBorder="1"/>
    <xf numFmtId="181" fontId="64" fillId="0" borderId="10" xfId="3" applyNumberFormat="1" applyFont="1" applyAlignment="1">
      <alignment horizontal="right"/>
    </xf>
    <xf numFmtId="179" fontId="63" fillId="0" borderId="183" xfId="3" applyFont="1" applyBorder="1" applyAlignment="1">
      <alignment horizontal="left" vertical="center" indent="1"/>
    </xf>
    <xf numFmtId="179" fontId="65" fillId="6" borderId="10" xfId="3" applyFont="1" applyFill="1" applyAlignment="1">
      <alignment horizontal="right"/>
    </xf>
    <xf numFmtId="179" fontId="65" fillId="5" borderId="10" xfId="3" applyFont="1" applyFill="1" applyAlignment="1">
      <alignment horizontal="right"/>
    </xf>
    <xf numFmtId="181" fontId="66" fillId="0" borderId="10" xfId="3" applyNumberFormat="1" applyFont="1" applyAlignment="1">
      <alignment horizontal="right"/>
    </xf>
    <xf numFmtId="182" fontId="59" fillId="0" borderId="180" xfId="4" applyNumberFormat="1" applyFont="1" applyBorder="1" applyAlignment="1">
      <alignment vertical="center"/>
    </xf>
    <xf numFmtId="182" fontId="59" fillId="0" borderId="181" xfId="4" applyNumberFormat="1" applyFont="1" applyBorder="1" applyAlignment="1">
      <alignment vertical="center"/>
    </xf>
    <xf numFmtId="179" fontId="67" fillId="0" borderId="10" xfId="3" applyFont="1" applyAlignment="1">
      <alignment vertical="center"/>
    </xf>
    <xf numFmtId="182" fontId="59" fillId="0" borderId="184" xfId="4" applyNumberFormat="1" applyFont="1" applyBorder="1" applyAlignment="1">
      <alignment vertical="center"/>
    </xf>
    <xf numFmtId="0" fontId="69" fillId="0" borderId="10" xfId="5" applyFont="1" applyBorder="1" applyAlignment="1" applyProtection="1">
      <alignment horizontal="center" vertical="center"/>
    </xf>
    <xf numFmtId="0" fontId="69" fillId="0" borderId="10" xfId="5" applyFont="1" applyBorder="1" applyAlignment="1" applyProtection="1">
      <alignment vertical="center"/>
    </xf>
    <xf numFmtId="179" fontId="59" fillId="0" borderId="183" xfId="3" applyFont="1" applyBorder="1" applyAlignment="1">
      <alignment vertical="center"/>
    </xf>
    <xf numFmtId="183" fontId="70" fillId="0" borderId="185" xfId="3" applyNumberFormat="1" applyFont="1" applyBorder="1" applyAlignment="1">
      <alignment vertical="center"/>
    </xf>
    <xf numFmtId="179" fontId="71" fillId="5" borderId="186" xfId="3" applyFont="1" applyFill="1" applyBorder="1"/>
    <xf numFmtId="179" fontId="71" fillId="5" borderId="187" xfId="3" applyFont="1" applyFill="1" applyBorder="1"/>
    <xf numFmtId="183" fontId="72" fillId="0" borderId="10" xfId="3" applyNumberFormat="1" applyFont="1" applyAlignment="1">
      <alignment horizontal="left" vertical="center"/>
    </xf>
    <xf numFmtId="0" fontId="74" fillId="6" borderId="10" xfId="6" applyFont="1" applyFill="1" applyBorder="1" applyAlignment="1"/>
    <xf numFmtId="0" fontId="75" fillId="6" borderId="10" xfId="6" applyFont="1" applyFill="1" applyBorder="1" applyAlignment="1"/>
    <xf numFmtId="179" fontId="76" fillId="0" borderId="10" xfId="3" applyFont="1"/>
    <xf numFmtId="179" fontId="78" fillId="7" borderId="10" xfId="3" applyFont="1" applyFill="1"/>
    <xf numFmtId="9" fontId="39" fillId="2" borderId="103" xfId="1" applyFont="1" applyFill="1" applyBorder="1" applyAlignment="1">
      <alignment horizontal="center"/>
    </xf>
    <xf numFmtId="49" fontId="50" fillId="2" borderId="100" xfId="0" applyNumberFormat="1" applyFont="1" applyFill="1" applyBorder="1" applyAlignment="1">
      <alignment horizontal="left"/>
    </xf>
    <xf numFmtId="43" fontId="0" fillId="2" borderId="101" xfId="2" applyFont="1" applyFill="1" applyBorder="1" applyAlignment="1">
      <alignment horizontal="center"/>
    </xf>
    <xf numFmtId="43" fontId="0" fillId="2" borderId="57" xfId="2" applyFont="1" applyFill="1" applyBorder="1" applyAlignment="1">
      <alignment horizontal="center"/>
    </xf>
    <xf numFmtId="9" fontId="40" fillId="3" borderId="102" xfId="1" applyFont="1" applyFill="1" applyBorder="1" applyAlignment="1">
      <alignment horizontal="center"/>
    </xf>
    <xf numFmtId="49" fontId="50" fillId="2" borderId="119" xfId="0" applyNumberFormat="1" applyFont="1" applyFill="1" applyBorder="1"/>
    <xf numFmtId="169" fontId="50" fillId="2" borderId="122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left"/>
    </xf>
    <xf numFmtId="49" fontId="8" fillId="2" borderId="22" xfId="0" applyNumberFormat="1" applyFont="1" applyFill="1" applyBorder="1" applyAlignment="1">
      <alignment horizontal="left"/>
    </xf>
    <xf numFmtId="165" fontId="8" fillId="2" borderId="23" xfId="0" applyNumberFormat="1" applyFont="1" applyFill="1" applyBorder="1" applyAlignment="1">
      <alignment horizontal="left"/>
    </xf>
    <xf numFmtId="165" fontId="8" fillId="2" borderId="24" xfId="0" applyNumberFormat="1" applyFont="1" applyFill="1" applyBorder="1" applyAlignment="1">
      <alignment horizontal="left"/>
    </xf>
    <xf numFmtId="49" fontId="8" fillId="2" borderId="34" xfId="0" applyNumberFormat="1" applyFont="1" applyFill="1" applyBorder="1" applyAlignment="1">
      <alignment horizontal="left"/>
    </xf>
    <xf numFmtId="165" fontId="8" fillId="2" borderId="35" xfId="0" applyNumberFormat="1" applyFont="1" applyFill="1" applyBorder="1" applyAlignment="1">
      <alignment horizontal="left"/>
    </xf>
    <xf numFmtId="165" fontId="8" fillId="2" borderId="36" xfId="0" applyNumberFormat="1" applyFont="1" applyFill="1" applyBorder="1" applyAlignment="1">
      <alignment horizontal="left"/>
    </xf>
    <xf numFmtId="49" fontId="8" fillId="2" borderId="28" xfId="0" applyNumberFormat="1" applyFont="1" applyFill="1" applyBorder="1" applyAlignment="1">
      <alignment horizontal="left"/>
    </xf>
    <xf numFmtId="165" fontId="8" fillId="2" borderId="29" xfId="0" applyNumberFormat="1" applyFont="1" applyFill="1" applyBorder="1" applyAlignment="1">
      <alignment horizontal="left"/>
    </xf>
    <xf numFmtId="165" fontId="8" fillId="2" borderId="30" xfId="0" applyNumberFormat="1" applyFont="1" applyFill="1" applyBorder="1" applyAlignment="1">
      <alignment horizontal="left"/>
    </xf>
    <xf numFmtId="178" fontId="40" fillId="3" borderId="10" xfId="0" applyNumberFormat="1" applyFont="1" applyFill="1" applyBorder="1" applyAlignment="1">
      <alignment horizontal="center"/>
    </xf>
    <xf numFmtId="166" fontId="56" fillId="2" borderId="10" xfId="0" applyNumberFormat="1" applyFont="1" applyFill="1" applyBorder="1" applyAlignment="1">
      <alignment horizontal="left" vertical="top" wrapText="1"/>
    </xf>
    <xf numFmtId="166" fontId="56" fillId="2" borderId="12" xfId="0" applyNumberFormat="1" applyFont="1" applyFill="1" applyBorder="1" applyAlignment="1">
      <alignment horizontal="left" vertical="top" wrapText="1"/>
    </xf>
    <xf numFmtId="168" fontId="26" fillId="2" borderId="62" xfId="0" applyNumberFormat="1" applyFont="1" applyFill="1" applyBorder="1" applyAlignment="1">
      <alignment horizontal="center"/>
    </xf>
    <xf numFmtId="168" fontId="26" fillId="2" borderId="63" xfId="0" applyNumberFormat="1" applyFont="1" applyFill="1" applyBorder="1" applyAlignment="1">
      <alignment horizontal="center"/>
    </xf>
    <xf numFmtId="168" fontId="26" fillId="2" borderId="33" xfId="0" applyNumberFormat="1" applyFont="1" applyFill="1" applyBorder="1" applyAlignment="1">
      <alignment horizontal="center"/>
    </xf>
    <xf numFmtId="168" fontId="26" fillId="2" borderId="85" xfId="0" applyNumberFormat="1" applyFont="1" applyFill="1" applyBorder="1" applyAlignment="1">
      <alignment horizontal="center"/>
    </xf>
    <xf numFmtId="168" fontId="26" fillId="2" borderId="72" xfId="0" applyNumberFormat="1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right"/>
    </xf>
  </cellXfs>
  <cellStyles count="7">
    <cellStyle name="AFE" xfId="5" xr:uid="{8EECFFD7-633D-7742-96D3-FAF4B02E5CD6}"/>
    <cellStyle name="Comma" xfId="2" builtinId="3"/>
    <cellStyle name="Hyperlink" xfId="6" builtinId="8"/>
    <cellStyle name="Normal" xfId="0" builtinId="0"/>
    <cellStyle name="Normal 2" xfId="3" xr:uid="{DCA61AA6-2A8C-4949-9B5C-5DBDB01561F8}"/>
    <cellStyle name="Normal 6" xfId="4" xr:uid="{F068E117-B2B0-3E42-A25B-D14154F8CA85}"/>
    <cellStyle name="Per 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7D800"/>
      <rgbColor rgb="FFCFCFCF"/>
      <rgbColor rgb="FF4BC3FF"/>
      <rgbColor rgb="FF3F3F3F"/>
      <rgbColor rgb="FF5F5F5F"/>
      <rgbColor rgb="FF333333"/>
      <rgbColor rgb="FFD8D8D8"/>
      <rgbColor rgb="FF25B2FC"/>
      <rgbColor rgb="FF0B2C44"/>
      <rgbColor rgb="FF595959"/>
      <rgbColor rgb="FFFF0000"/>
      <rgbColor rgb="FFADACAC"/>
      <rgbColor rgb="FF262626"/>
      <rgbColor rgb="FF98D50E"/>
      <rgbColor rgb="FFCBFFF0"/>
      <rgbColor rgb="FFFC0058"/>
      <rgbColor rgb="FFE94399"/>
      <rgbColor rgb="FF418FCA"/>
      <rgbColor rgb="FFD8D8D8"/>
      <rgbColor rgb="FF598A38"/>
      <rgbColor rgb="FFA7A7A7"/>
      <rgbColor rgb="FFA5A5A5"/>
      <rgbColor rgb="FFECECEC"/>
      <rgbColor rgb="FFC3ECF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1</xdr:row>
      <xdr:rowOff>114300</xdr:rowOff>
    </xdr:from>
    <xdr:to>
      <xdr:col>9</xdr:col>
      <xdr:colOff>571500</xdr:colOff>
      <xdr:row>1</xdr:row>
      <xdr:rowOff>527957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27F9DA5-12FA-1D4E-B8C5-C16FF6549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565900" y="317500"/>
          <a:ext cx="2895600" cy="413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abianapel/Documents/CV%20and%20Covers/Equidam%20Assignment/Equidam%20Assignment%201%20Fabian%20Ap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i/Desktop/PostPickr%202020/Documentazione%20aziendale%20/Documentazione%20Equidam%20/Copia%20di%2029-8-20%20PostPickr%20Financial%20Projections%20PP%20(Antonello%20edi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nielfaloppa/Downloads/Financial-projections-template%20(3).xlsx" TargetMode="External"/><Relationship Id="rId1" Type="http://schemas.openxmlformats.org/officeDocument/2006/relationships/externalLinkPath" Target="Financial-projections-templat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WI Assumption Workings"/>
      <sheetName val="CASH FLOW with Yearly result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P&amp;L &amp; BS"/>
      <sheetName val="Revenues"/>
      <sheetName val="Costs"/>
      <sheetName val="Team"/>
      <sheetName val="BS CF"/>
      <sheetName val="Equidam Financials Input"/>
    </sheetNames>
    <sheetDataSet>
      <sheetData sheetId="0"/>
      <sheetData sheetId="1"/>
      <sheetData sheetId="2">
        <row r="10">
          <cell r="D10">
            <v>40483</v>
          </cell>
        </row>
        <row r="19">
          <cell r="H19">
            <v>169779.80392156861</v>
          </cell>
          <cell r="I19">
            <v>223029.22549019603</v>
          </cell>
          <cell r="J19">
            <v>295379.04068627441</v>
          </cell>
          <cell r="K19">
            <v>394139.50071078422</v>
          </cell>
          <cell r="L19">
            <v>529495.47130759794</v>
          </cell>
        </row>
        <row r="69">
          <cell r="H69">
            <v>820533.60000000009</v>
          </cell>
          <cell r="I69">
            <v>1079472.2000000002</v>
          </cell>
          <cell r="J69">
            <v>1424677.8599999999</v>
          </cell>
          <cell r="K69">
            <v>1894488.612</v>
          </cell>
          <cell r="L69">
            <v>2537045.5280000004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Summary Financials"/>
      <sheetName val="Year 1"/>
      <sheetName val="Year 2"/>
      <sheetName val="Year 3"/>
      <sheetName val="Year 4"/>
      <sheetName val="Year 5"/>
      <sheetName val="Financing Schedule"/>
      <sheetName val="Overview of Inputs"/>
    </sheetNames>
    <sheetDataSet>
      <sheetData sheetId="0"/>
      <sheetData sheetId="1"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quidam.com/?ref=financial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45"/>
  <sheetViews>
    <sheetView showGridLines="0" workbookViewId="0">
      <selection activeCell="G24" sqref="G24"/>
    </sheetView>
  </sheetViews>
  <sheetFormatPr baseColWidth="10" defaultColWidth="11.1640625" defaultRowHeight="15" customHeight="1"/>
  <cols>
    <col min="1" max="1" width="7" style="1" customWidth="1"/>
    <col min="2" max="2" width="7.5" style="1" customWidth="1"/>
    <col min="3" max="3" width="15.1640625" style="1" customWidth="1"/>
    <col min="4" max="4" width="14" style="1" customWidth="1"/>
    <col min="5" max="5" width="15.1640625" style="1" customWidth="1"/>
    <col min="6" max="6" width="12.33203125" style="1" customWidth="1"/>
    <col min="7" max="10" width="15.1640625" style="1" customWidth="1"/>
    <col min="11" max="20" width="13.33203125" style="1" customWidth="1"/>
    <col min="21" max="256" width="11.1640625" style="1" customWidth="1"/>
  </cols>
  <sheetData>
    <row r="1" spans="1:20" ht="16" customHeight="1">
      <c r="A1" s="2"/>
      <c r="B1" s="601"/>
      <c r="C1" s="601"/>
      <c r="D1" s="3"/>
      <c r="E1" s="3"/>
      <c r="F1" s="3"/>
      <c r="G1" s="3"/>
      <c r="H1" s="3"/>
      <c r="I1" s="3"/>
      <c r="J1" s="4"/>
      <c r="K1" s="5"/>
      <c r="L1" s="6"/>
      <c r="M1" s="6"/>
      <c r="N1" s="6"/>
      <c r="O1" s="6"/>
      <c r="P1" s="6"/>
      <c r="Q1" s="6"/>
      <c r="R1" s="6"/>
      <c r="S1" s="6"/>
      <c r="T1" s="7"/>
    </row>
    <row r="2" spans="1:20" ht="45" customHeight="1">
      <c r="A2" s="8"/>
      <c r="B2" s="555" t="str">
        <f>"Financial Projections of "&amp;D4</f>
        <v>Financial Projections of Unicorn Inc.</v>
      </c>
      <c r="C2" s="9"/>
      <c r="D2" s="9"/>
      <c r="E2" s="10"/>
      <c r="F2" s="11"/>
      <c r="G2" s="11"/>
      <c r="H2" s="11"/>
      <c r="I2" s="12"/>
      <c r="J2" s="13"/>
      <c r="K2" s="14"/>
      <c r="L2" s="15"/>
      <c r="M2" s="15"/>
      <c r="N2" s="15"/>
      <c r="O2" s="15"/>
      <c r="P2" s="15"/>
      <c r="Q2" s="15"/>
      <c r="R2" s="15"/>
      <c r="S2" s="15"/>
      <c r="T2" s="16"/>
    </row>
    <row r="3" spans="1:20" ht="17" customHeight="1">
      <c r="A3" s="8"/>
      <c r="B3" s="553"/>
      <c r="C3" s="554"/>
      <c r="D3" s="554"/>
      <c r="E3" s="554"/>
      <c r="F3" s="554"/>
      <c r="G3" s="554"/>
      <c r="H3" s="612" t="s">
        <v>228</v>
      </c>
      <c r="I3" s="612"/>
      <c r="J3" s="613"/>
      <c r="K3" s="17"/>
      <c r="L3" s="18"/>
      <c r="M3" s="18"/>
      <c r="N3" s="18"/>
      <c r="O3" s="18"/>
      <c r="P3" s="15"/>
      <c r="Q3" s="15"/>
      <c r="R3" s="15"/>
      <c r="S3" s="15"/>
      <c r="T3" s="16"/>
    </row>
    <row r="4" spans="1:20" ht="17" customHeight="1">
      <c r="A4" s="8"/>
      <c r="B4" s="19" t="s">
        <v>222</v>
      </c>
      <c r="C4" s="20"/>
      <c r="D4" s="231" t="s">
        <v>224</v>
      </c>
      <c r="E4" s="20"/>
      <c r="F4" s="20"/>
      <c r="G4" s="20"/>
      <c r="H4" s="612"/>
      <c r="I4" s="612"/>
      <c r="J4" s="613"/>
      <c r="K4" s="14"/>
      <c r="L4" s="15"/>
      <c r="M4" s="15"/>
      <c r="N4" s="15"/>
      <c r="O4" s="15"/>
      <c r="P4" s="15"/>
      <c r="Q4" s="15"/>
      <c r="R4" s="15"/>
      <c r="S4" s="15"/>
      <c r="T4" s="16"/>
    </row>
    <row r="5" spans="1:20" ht="17" customHeight="1">
      <c r="A5" s="8"/>
      <c r="B5" s="19" t="s">
        <v>223</v>
      </c>
      <c r="C5" s="20"/>
      <c r="D5" s="611">
        <v>45292</v>
      </c>
      <c r="E5" s="611"/>
      <c r="F5" s="20"/>
      <c r="G5" s="20"/>
      <c r="H5" s="612"/>
      <c r="I5" s="612"/>
      <c r="J5" s="613"/>
      <c r="K5" s="14"/>
      <c r="L5" s="15"/>
      <c r="M5" s="15"/>
      <c r="N5" s="15"/>
      <c r="O5" s="15"/>
      <c r="P5" s="15"/>
      <c r="Q5" s="15"/>
      <c r="R5" s="15"/>
      <c r="S5" s="15"/>
      <c r="T5" s="16"/>
    </row>
    <row r="6" spans="1:20" ht="17" customHeight="1">
      <c r="A6" s="8"/>
      <c r="B6" s="19"/>
      <c r="C6" s="20"/>
      <c r="D6" s="20"/>
      <c r="E6" s="20"/>
      <c r="F6" s="20"/>
      <c r="G6" s="20"/>
      <c r="H6" s="612"/>
      <c r="I6" s="612"/>
      <c r="J6" s="613"/>
      <c r="K6" s="17"/>
      <c r="L6" s="18"/>
      <c r="M6" s="18"/>
      <c r="N6" s="18"/>
      <c r="O6" s="18"/>
      <c r="P6" s="15"/>
      <c r="Q6" s="15"/>
      <c r="R6" s="15"/>
      <c r="S6" s="15"/>
      <c r="T6" s="16"/>
    </row>
    <row r="7" spans="1:20" ht="17" customHeight="1">
      <c r="A7" s="8"/>
      <c r="B7" s="19"/>
      <c r="C7" s="20"/>
      <c r="D7" s="20"/>
      <c r="E7" s="20"/>
      <c r="F7" s="20"/>
      <c r="G7" s="20"/>
      <c r="H7" s="612"/>
      <c r="I7" s="612"/>
      <c r="J7" s="613"/>
      <c r="K7" s="14"/>
      <c r="L7" s="15"/>
      <c r="M7" s="15"/>
      <c r="N7" s="15"/>
      <c r="O7" s="15"/>
      <c r="P7" s="15"/>
      <c r="Q7" s="15"/>
      <c r="R7" s="15"/>
      <c r="S7" s="15"/>
      <c r="T7" s="16"/>
    </row>
    <row r="8" spans="1:20" ht="17" customHeight="1">
      <c r="A8" s="8"/>
      <c r="B8" s="22"/>
      <c r="C8" s="23"/>
      <c r="D8" s="23"/>
      <c r="E8" s="23"/>
      <c r="F8" s="23"/>
      <c r="G8" s="23"/>
      <c r="H8" s="23"/>
      <c r="I8" s="23"/>
      <c r="J8" s="24"/>
      <c r="K8" s="25"/>
      <c r="L8" s="26"/>
      <c r="M8" s="15"/>
      <c r="N8" s="15"/>
      <c r="O8" s="15"/>
      <c r="P8" s="15"/>
      <c r="Q8" s="15"/>
      <c r="R8" s="15"/>
      <c r="S8" s="15"/>
      <c r="T8" s="16"/>
    </row>
    <row r="9" spans="1:20" ht="28" customHeight="1">
      <c r="A9" s="8"/>
      <c r="B9" s="27" t="s">
        <v>227</v>
      </c>
      <c r="C9" s="28"/>
      <c r="D9" s="28"/>
      <c r="E9" s="28"/>
      <c r="F9" s="28"/>
      <c r="G9" s="28"/>
      <c r="H9" s="28"/>
      <c r="I9" s="28"/>
      <c r="J9" s="29"/>
      <c r="K9" s="25"/>
      <c r="L9" s="26"/>
      <c r="M9" s="15"/>
      <c r="N9" s="15"/>
      <c r="O9" s="15"/>
      <c r="P9" s="15"/>
      <c r="Q9" s="15"/>
      <c r="R9" s="15"/>
      <c r="S9" s="15"/>
      <c r="T9" s="16"/>
    </row>
    <row r="10" spans="1:20" ht="19" customHeight="1">
      <c r="A10" s="8"/>
      <c r="B10" s="30" t="s">
        <v>0</v>
      </c>
      <c r="C10" s="31" t="s">
        <v>1</v>
      </c>
      <c r="D10" s="32"/>
      <c r="E10" s="31" t="s">
        <v>2</v>
      </c>
      <c r="F10" s="32"/>
      <c r="G10" s="32"/>
      <c r="H10" s="32"/>
      <c r="I10" s="32"/>
      <c r="J10" s="33"/>
      <c r="K10" s="34"/>
      <c r="L10" s="35"/>
      <c r="M10" s="15"/>
      <c r="N10" s="15"/>
      <c r="O10" s="15"/>
      <c r="P10" s="15"/>
      <c r="Q10" s="15"/>
      <c r="R10" s="15"/>
      <c r="S10" s="15"/>
      <c r="T10" s="16"/>
    </row>
    <row r="11" spans="1:20" ht="20" customHeight="1">
      <c r="A11" s="8"/>
      <c r="B11" s="36">
        <v>1</v>
      </c>
      <c r="C11" s="37" t="s">
        <v>3</v>
      </c>
      <c r="D11" s="38"/>
      <c r="E11" s="602" t="s">
        <v>4</v>
      </c>
      <c r="F11" s="603"/>
      <c r="G11" s="603"/>
      <c r="H11" s="603"/>
      <c r="I11" s="603"/>
      <c r="J11" s="604"/>
      <c r="K11" s="39"/>
      <c r="L11" s="26"/>
      <c r="M11" s="40"/>
      <c r="N11" s="40"/>
      <c r="O11" s="40"/>
      <c r="P11" s="40"/>
      <c r="Q11" s="40"/>
      <c r="R11" s="40"/>
      <c r="S11" s="40"/>
      <c r="T11" s="41"/>
    </row>
    <row r="12" spans="1:20" ht="35" customHeight="1">
      <c r="A12" s="8"/>
      <c r="B12" s="42">
        <v>2</v>
      </c>
      <c r="C12" s="43" t="s">
        <v>5</v>
      </c>
      <c r="D12" s="44"/>
      <c r="E12" s="608" t="s">
        <v>6</v>
      </c>
      <c r="F12" s="609"/>
      <c r="G12" s="609"/>
      <c r="H12" s="609"/>
      <c r="I12" s="609"/>
      <c r="J12" s="610"/>
      <c r="K12" s="39"/>
      <c r="L12" s="26"/>
      <c r="M12" s="40"/>
      <c r="N12" s="40"/>
      <c r="O12" s="40"/>
      <c r="P12" s="40"/>
      <c r="Q12" s="40"/>
      <c r="R12" s="40"/>
      <c r="S12" s="40"/>
      <c r="T12" s="41"/>
    </row>
    <row r="13" spans="1:20" ht="35" customHeight="1">
      <c r="A13" s="8"/>
      <c r="B13" s="42">
        <v>3</v>
      </c>
      <c r="C13" s="43" t="s">
        <v>7</v>
      </c>
      <c r="D13" s="44"/>
      <c r="E13" s="608" t="s">
        <v>8</v>
      </c>
      <c r="F13" s="609"/>
      <c r="G13" s="609"/>
      <c r="H13" s="609"/>
      <c r="I13" s="609"/>
      <c r="J13" s="610"/>
      <c r="K13" s="39"/>
      <c r="L13" s="26"/>
      <c r="M13" s="40"/>
      <c r="N13" s="40"/>
      <c r="O13" s="40"/>
      <c r="P13" s="40"/>
      <c r="Q13" s="40"/>
      <c r="R13" s="40"/>
      <c r="S13" s="40"/>
      <c r="T13" s="41"/>
    </row>
    <row r="14" spans="1:20" ht="35" customHeight="1">
      <c r="A14" s="8"/>
      <c r="B14" s="42">
        <v>4</v>
      </c>
      <c r="C14" s="43" t="s">
        <v>9</v>
      </c>
      <c r="D14" s="44"/>
      <c r="E14" s="608" t="s">
        <v>10</v>
      </c>
      <c r="F14" s="609"/>
      <c r="G14" s="609"/>
      <c r="H14" s="609"/>
      <c r="I14" s="609"/>
      <c r="J14" s="610"/>
      <c r="K14" s="39"/>
      <c r="L14" s="26"/>
      <c r="M14" s="40"/>
      <c r="N14" s="40"/>
      <c r="O14" s="40"/>
      <c r="P14" s="40"/>
      <c r="Q14" s="40"/>
      <c r="R14" s="40"/>
      <c r="S14" s="40"/>
      <c r="T14" s="41"/>
    </row>
    <row r="15" spans="1:20" ht="35" customHeight="1">
      <c r="A15" s="8"/>
      <c r="B15" s="42">
        <v>5</v>
      </c>
      <c r="C15" s="43" t="s">
        <v>11</v>
      </c>
      <c r="D15" s="44"/>
      <c r="E15" s="608" t="s">
        <v>12</v>
      </c>
      <c r="F15" s="609"/>
      <c r="G15" s="609"/>
      <c r="H15" s="609"/>
      <c r="I15" s="609"/>
      <c r="J15" s="610"/>
      <c r="K15" s="39"/>
      <c r="L15" s="26"/>
      <c r="M15" s="40"/>
      <c r="N15" s="40"/>
      <c r="O15" s="40"/>
      <c r="P15" s="40"/>
      <c r="Q15" s="40"/>
      <c r="R15" s="40"/>
      <c r="S15" s="40"/>
      <c r="T15" s="41"/>
    </row>
    <row r="16" spans="1:20" ht="35" customHeight="1">
      <c r="A16" s="8"/>
      <c r="B16" s="45">
        <v>9</v>
      </c>
      <c r="C16" s="46" t="s">
        <v>13</v>
      </c>
      <c r="D16" s="47"/>
      <c r="E16" s="605" t="s">
        <v>14</v>
      </c>
      <c r="F16" s="606"/>
      <c r="G16" s="606"/>
      <c r="H16" s="606"/>
      <c r="I16" s="606"/>
      <c r="J16" s="607"/>
      <c r="K16" s="39"/>
      <c r="L16" s="26"/>
      <c r="M16" s="40"/>
      <c r="N16" s="40"/>
      <c r="O16" s="40"/>
      <c r="P16" s="40"/>
      <c r="Q16" s="40"/>
      <c r="R16" s="40"/>
      <c r="S16" s="40"/>
      <c r="T16" s="41"/>
    </row>
    <row r="17" spans="1:20" ht="1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26"/>
      <c r="L17" s="26"/>
      <c r="M17" s="15"/>
      <c r="N17" s="15"/>
      <c r="O17" s="15"/>
      <c r="P17" s="15"/>
      <c r="Q17" s="15"/>
      <c r="R17" s="15"/>
      <c r="S17" s="15"/>
      <c r="T17" s="16"/>
    </row>
    <row r="18" spans="1:20" ht="15" customHeight="1">
      <c r="A18" s="48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15"/>
      <c r="N18" s="15"/>
      <c r="O18" s="15"/>
      <c r="P18" s="15"/>
      <c r="Q18" s="15"/>
      <c r="R18" s="15"/>
      <c r="S18" s="15"/>
      <c r="T18" s="16"/>
    </row>
    <row r="19" spans="1:20" ht="16" customHeight="1">
      <c r="A19" s="48"/>
      <c r="B19" s="15"/>
      <c r="C19" s="15"/>
      <c r="D19" s="15"/>
      <c r="E19" s="15"/>
      <c r="F19" s="15"/>
      <c r="G19" s="15"/>
      <c r="H19" s="50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</row>
    <row r="20" spans="1:20" ht="16" customHeight="1">
      <c r="A20" s="48"/>
      <c r="B20" s="15"/>
      <c r="C20" s="15"/>
      <c r="D20" s="15"/>
      <c r="E20" s="15"/>
      <c r="F20" s="15"/>
      <c r="G20" s="15"/>
      <c r="H20" s="5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/>
    </row>
    <row r="21" spans="1:20" ht="16" customHeight="1">
      <c r="A21" s="48"/>
      <c r="B21" s="15"/>
      <c r="C21" s="15"/>
      <c r="D21" s="15"/>
      <c r="E21" s="15"/>
      <c r="F21" s="15"/>
      <c r="G21" s="15"/>
      <c r="H21" s="50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6"/>
    </row>
    <row r="22" spans="1:20" ht="16" customHeight="1">
      <c r="A22" s="48"/>
      <c r="B22" s="15"/>
      <c r="C22" s="15"/>
      <c r="D22" s="15"/>
      <c r="E22" s="15"/>
      <c r="F22" s="15"/>
      <c r="G22" s="15"/>
      <c r="H22" s="51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6"/>
    </row>
    <row r="23" spans="1:20" ht="16" customHeight="1">
      <c r="A23" s="48"/>
      <c r="B23" s="15"/>
      <c r="C23" s="15"/>
      <c r="D23" s="15"/>
      <c r="E23" s="15"/>
      <c r="F23" s="15"/>
      <c r="G23" s="15"/>
      <c r="H23" s="50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6"/>
    </row>
    <row r="24" spans="1:20" ht="16" customHeight="1">
      <c r="A24" s="48"/>
      <c r="B24" s="15"/>
      <c r="C24" s="15"/>
      <c r="D24" s="15"/>
      <c r="E24" s="15"/>
      <c r="F24" s="15"/>
      <c r="G24" s="15"/>
      <c r="H24" s="5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</row>
    <row r="25" spans="1:20" ht="16" customHeight="1">
      <c r="A25" s="48"/>
      <c r="B25" s="15"/>
      <c r="C25" s="15"/>
      <c r="D25" s="15"/>
      <c r="E25" s="15"/>
      <c r="F25" s="15"/>
      <c r="G25" s="15"/>
      <c r="H25" s="50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</row>
    <row r="26" spans="1:20" ht="16" customHeight="1">
      <c r="A26" s="48"/>
      <c r="B26" s="15"/>
      <c r="C26" s="15"/>
      <c r="D26" s="15"/>
      <c r="E26" s="15"/>
      <c r="F26" s="15"/>
      <c r="G26" s="15"/>
      <c r="H26" s="5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1:20" ht="16" customHeight="1">
      <c r="A27" s="48"/>
      <c r="B27" s="15"/>
      <c r="C27" s="15"/>
      <c r="D27" s="15"/>
      <c r="E27" s="15"/>
      <c r="F27" s="15"/>
      <c r="G27" s="15"/>
      <c r="H27" s="5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/>
    </row>
    <row r="28" spans="1:20" ht="16" customHeight="1">
      <c r="A28" s="48"/>
      <c r="B28" s="15"/>
      <c r="C28" s="15"/>
      <c r="D28" s="15"/>
      <c r="E28" s="15"/>
      <c r="F28" s="15"/>
      <c r="G28" s="15"/>
      <c r="H28" s="50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</row>
    <row r="29" spans="1:20" ht="16" customHeight="1">
      <c r="A29" s="48"/>
      <c r="B29" s="15"/>
      <c r="C29" s="15"/>
      <c r="D29" s="15"/>
      <c r="E29" s="15"/>
      <c r="F29" s="15"/>
      <c r="G29" s="15"/>
      <c r="H29" s="50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</row>
    <row r="30" spans="1:20" ht="16" customHeight="1">
      <c r="A30" s="48"/>
      <c r="B30" s="15"/>
      <c r="C30" s="15"/>
      <c r="D30" s="15"/>
      <c r="E30" s="15"/>
      <c r="F30" s="15"/>
      <c r="G30" s="15"/>
      <c r="H30" s="50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</row>
    <row r="31" spans="1:20" ht="16" customHeight="1">
      <c r="A31" s="48"/>
      <c r="B31" s="15"/>
      <c r="C31" s="15"/>
      <c r="D31" s="15"/>
      <c r="E31" s="15"/>
      <c r="F31" s="15"/>
      <c r="G31" s="15"/>
      <c r="H31" s="50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</row>
    <row r="32" spans="1:20" ht="16" customHeight="1">
      <c r="A32" s="48"/>
      <c r="B32" s="15"/>
      <c r="C32" s="15"/>
      <c r="D32" s="15"/>
      <c r="E32" s="15"/>
      <c r="F32" s="15"/>
      <c r="G32" s="15"/>
      <c r="H32" s="50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/>
    </row>
    <row r="33" spans="1:20" ht="16" customHeight="1">
      <c r="A33" s="48"/>
      <c r="B33" s="15"/>
      <c r="C33" s="15"/>
      <c r="D33" s="15"/>
      <c r="E33" s="15"/>
      <c r="F33" s="15"/>
      <c r="G33" s="15"/>
      <c r="H33" s="50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6"/>
    </row>
    <row r="34" spans="1:20" ht="16" customHeight="1">
      <c r="A34" s="48"/>
      <c r="B34" s="15"/>
      <c r="C34" s="15"/>
      <c r="D34" s="15"/>
      <c r="E34" s="15"/>
      <c r="F34" s="15"/>
      <c r="G34" s="15"/>
      <c r="H34" s="50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6"/>
    </row>
    <row r="35" spans="1:20" ht="16" customHeight="1">
      <c r="A35" s="48"/>
      <c r="B35" s="15"/>
      <c r="C35" s="15"/>
      <c r="D35" s="15"/>
      <c r="E35" s="15"/>
      <c r="F35" s="15"/>
      <c r="G35" s="15"/>
      <c r="H35" s="2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6"/>
    </row>
    <row r="36" spans="1:20" ht="16" customHeight="1">
      <c r="A36" s="48"/>
      <c r="B36" s="15"/>
      <c r="C36" s="15"/>
      <c r="D36" s="15"/>
      <c r="E36" s="15"/>
      <c r="F36" s="15"/>
      <c r="G36" s="15"/>
      <c r="H36" s="2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6"/>
    </row>
    <row r="37" spans="1:20" ht="16" customHeight="1">
      <c r="A37" s="48"/>
      <c r="B37" s="15"/>
      <c r="C37" s="15"/>
      <c r="D37" s="15"/>
      <c r="E37" s="15"/>
      <c r="F37" s="15"/>
      <c r="G37" s="15"/>
      <c r="H37" s="21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6"/>
    </row>
    <row r="38" spans="1:20" ht="16" customHeight="1">
      <c r="A38" s="48"/>
      <c r="B38" s="15"/>
      <c r="C38" s="15"/>
      <c r="D38" s="15"/>
      <c r="E38" s="15"/>
      <c r="F38" s="15"/>
      <c r="G38" s="15"/>
      <c r="H38" s="50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6"/>
    </row>
    <row r="39" spans="1:20" ht="16" customHeight="1">
      <c r="A39" s="48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6"/>
    </row>
    <row r="40" spans="1:20" ht="16" customHeight="1">
      <c r="A40" s="48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6"/>
    </row>
    <row r="41" spans="1:20" ht="16" customHeight="1">
      <c r="A41" s="48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6"/>
    </row>
    <row r="42" spans="1:20" ht="16" customHeight="1">
      <c r="A42" s="48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6"/>
    </row>
    <row r="43" spans="1:20" ht="16" customHeight="1">
      <c r="A43" s="4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6"/>
    </row>
    <row r="44" spans="1:20" ht="16" customHeight="1">
      <c r="A44" s="48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6"/>
    </row>
    <row r="45" spans="1:20" ht="16" customHeight="1">
      <c r="A45" s="48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6"/>
    </row>
    <row r="46" spans="1:20" ht="16" customHeight="1">
      <c r="A46" s="48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6"/>
    </row>
    <row r="47" spans="1:20" ht="16" customHeight="1">
      <c r="A47" s="48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</row>
    <row r="48" spans="1:20" ht="16" customHeight="1">
      <c r="A48" s="4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6"/>
    </row>
    <row r="49" spans="1:20" ht="16" customHeight="1">
      <c r="A49" s="48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6"/>
    </row>
    <row r="50" spans="1:20" ht="16" customHeight="1">
      <c r="A50" s="48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6"/>
    </row>
    <row r="51" spans="1:20" ht="16" customHeight="1">
      <c r="A51" s="48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6"/>
    </row>
    <row r="52" spans="1:20" ht="16" customHeight="1">
      <c r="A52" s="48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6"/>
    </row>
    <row r="53" spans="1:20" ht="16" customHeight="1">
      <c r="A53" s="48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6"/>
    </row>
    <row r="54" spans="1:20" ht="16" customHeight="1">
      <c r="A54" s="4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6"/>
    </row>
    <row r="55" spans="1:20" ht="16" customHeight="1">
      <c r="A55" s="48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6"/>
    </row>
    <row r="56" spans="1:20" ht="16" customHeight="1">
      <c r="A56" s="48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</row>
    <row r="57" spans="1:20" ht="16" customHeight="1">
      <c r="A57" s="48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</row>
    <row r="58" spans="1:20" ht="16" customHeight="1">
      <c r="A58" s="48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6"/>
    </row>
    <row r="59" spans="1:20" ht="16" customHeight="1">
      <c r="A59" s="48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6"/>
    </row>
    <row r="60" spans="1:20" ht="16" customHeight="1">
      <c r="A60" s="48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6"/>
    </row>
    <row r="61" spans="1:20" ht="16" customHeight="1">
      <c r="A61" s="48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</row>
    <row r="62" spans="1:20" ht="16" customHeight="1">
      <c r="A62" s="4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6"/>
    </row>
    <row r="63" spans="1:20" ht="16" customHeight="1">
      <c r="A63" s="48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6"/>
    </row>
    <row r="64" spans="1:20" ht="16" customHeight="1">
      <c r="A64" s="4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6"/>
    </row>
    <row r="65" spans="1:20" ht="16" customHeight="1">
      <c r="A65" s="48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6"/>
    </row>
    <row r="66" spans="1:20" ht="16" customHeight="1">
      <c r="A66" s="48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6"/>
    </row>
    <row r="67" spans="1:20" ht="16" customHeight="1">
      <c r="A67" s="48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6"/>
    </row>
    <row r="68" spans="1:20" ht="16" customHeight="1">
      <c r="A68" s="48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6"/>
    </row>
    <row r="69" spans="1:20" ht="16" customHeight="1">
      <c r="A69" s="48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6"/>
    </row>
    <row r="70" spans="1:20" ht="16" customHeight="1">
      <c r="A70" s="48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6"/>
    </row>
    <row r="71" spans="1:20" ht="16" customHeight="1">
      <c r="A71" s="48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6"/>
    </row>
    <row r="72" spans="1:20" ht="16" customHeight="1">
      <c r="A72" s="48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6"/>
    </row>
    <row r="73" spans="1:20" ht="16" customHeight="1">
      <c r="A73" s="48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6"/>
    </row>
    <row r="74" spans="1:20" ht="16" customHeight="1">
      <c r="A74" s="48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6"/>
    </row>
    <row r="75" spans="1:20" ht="16" customHeight="1">
      <c r="A75" s="48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6"/>
    </row>
    <row r="76" spans="1:20" ht="16" customHeight="1">
      <c r="A76" s="4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6"/>
    </row>
    <row r="77" spans="1:20" ht="16" customHeight="1">
      <c r="A77" s="48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6"/>
    </row>
    <row r="78" spans="1:20" ht="16" customHeight="1">
      <c r="A78" s="48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6"/>
    </row>
    <row r="79" spans="1:20" ht="16" customHeight="1">
      <c r="A79" s="48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6"/>
    </row>
    <row r="80" spans="1:20" ht="16" customHeight="1">
      <c r="A80" s="48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6"/>
    </row>
    <row r="81" spans="1:20" ht="16" customHeight="1">
      <c r="A81" s="48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6"/>
    </row>
    <row r="82" spans="1:20" ht="16" customHeight="1">
      <c r="A82" s="48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6"/>
    </row>
    <row r="83" spans="1:20" ht="16" customHeight="1">
      <c r="A83" s="48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6"/>
    </row>
    <row r="84" spans="1:20" ht="16" customHeight="1">
      <c r="A84" s="48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6"/>
    </row>
    <row r="85" spans="1:20" ht="16" customHeight="1">
      <c r="A85" s="48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6"/>
    </row>
    <row r="86" spans="1:20" ht="16" customHeight="1">
      <c r="A86" s="48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6"/>
    </row>
    <row r="87" spans="1:20" ht="16" customHeight="1">
      <c r="A87" s="48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6"/>
    </row>
    <row r="88" spans="1:20" ht="16" customHeight="1">
      <c r="A88" s="48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6"/>
    </row>
    <row r="89" spans="1:20" ht="16" customHeight="1">
      <c r="A89" s="48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6"/>
    </row>
    <row r="90" spans="1:20" ht="16" customHeight="1">
      <c r="A90" s="48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6"/>
    </row>
    <row r="91" spans="1:20" ht="16" customHeight="1">
      <c r="A91" s="48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6"/>
    </row>
    <row r="92" spans="1:20" ht="16" customHeight="1">
      <c r="A92" s="4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6"/>
    </row>
    <row r="93" spans="1:20" ht="16" customHeight="1">
      <c r="A93" s="48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6"/>
    </row>
    <row r="94" spans="1:20" ht="16" customHeight="1">
      <c r="A94" s="48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6"/>
    </row>
    <row r="95" spans="1:20" ht="16" customHeight="1">
      <c r="A95" s="48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6"/>
    </row>
    <row r="96" spans="1:20" ht="16" customHeight="1">
      <c r="A96" s="48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6"/>
    </row>
    <row r="97" spans="1:20" ht="16" customHeight="1">
      <c r="A97" s="48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6"/>
    </row>
    <row r="98" spans="1:20" ht="16" customHeight="1">
      <c r="A98" s="48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6"/>
    </row>
    <row r="99" spans="1:20" ht="16" customHeight="1">
      <c r="A99" s="48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6"/>
    </row>
    <row r="100" spans="1:20" ht="16" customHeight="1">
      <c r="A100" s="48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6"/>
    </row>
    <row r="101" spans="1:20" ht="16" customHeight="1">
      <c r="A101" s="48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</row>
    <row r="102" spans="1:20" ht="16" customHeight="1">
      <c r="A102" s="48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6"/>
    </row>
    <row r="103" spans="1:20" ht="16" customHeight="1">
      <c r="A103" s="48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6"/>
    </row>
    <row r="104" spans="1:20" ht="16" customHeight="1">
      <c r="A104" s="48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6"/>
    </row>
    <row r="105" spans="1:20" ht="16" customHeight="1">
      <c r="A105" s="48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6"/>
    </row>
    <row r="106" spans="1:20" ht="16" customHeight="1">
      <c r="A106" s="48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6"/>
    </row>
    <row r="107" spans="1:20" ht="16" customHeight="1">
      <c r="A107" s="48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6"/>
    </row>
    <row r="108" spans="1:20" ht="16" customHeight="1">
      <c r="A108" s="48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6"/>
    </row>
    <row r="109" spans="1:20" ht="16" customHeight="1">
      <c r="A109" s="48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6"/>
    </row>
    <row r="110" spans="1:20" ht="16" customHeight="1">
      <c r="A110" s="48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6"/>
    </row>
    <row r="111" spans="1:20" ht="16" customHeight="1">
      <c r="A111" s="48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6"/>
    </row>
    <row r="112" spans="1:20" ht="16" customHeight="1">
      <c r="A112" s="48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6"/>
    </row>
    <row r="113" spans="1:20" ht="16" customHeight="1">
      <c r="A113" s="48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6"/>
    </row>
    <row r="114" spans="1:20" ht="16" customHeight="1">
      <c r="A114" s="48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6"/>
    </row>
    <row r="115" spans="1:20" ht="16" customHeight="1">
      <c r="A115" s="48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6"/>
    </row>
    <row r="116" spans="1:20" ht="16" customHeight="1">
      <c r="A116" s="48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6"/>
    </row>
    <row r="117" spans="1:20" ht="16" customHeight="1">
      <c r="A117" s="48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6"/>
    </row>
    <row r="118" spans="1:20" ht="16" customHeight="1">
      <c r="A118" s="48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6"/>
    </row>
    <row r="119" spans="1:20" ht="16" customHeight="1">
      <c r="A119" s="48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6"/>
    </row>
    <row r="120" spans="1:20" ht="16" customHeight="1">
      <c r="A120" s="48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6"/>
    </row>
    <row r="121" spans="1:20" ht="16" customHeight="1">
      <c r="A121" s="48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6"/>
    </row>
    <row r="122" spans="1:20" ht="16" customHeight="1">
      <c r="A122" s="48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6"/>
    </row>
    <row r="123" spans="1:20" ht="16" customHeight="1">
      <c r="A123" s="48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6"/>
    </row>
    <row r="124" spans="1:20" ht="16" customHeight="1">
      <c r="A124" s="48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6"/>
    </row>
    <row r="125" spans="1:20" ht="16" customHeight="1">
      <c r="A125" s="48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6"/>
    </row>
    <row r="126" spans="1:20" ht="16" customHeight="1">
      <c r="A126" s="48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6"/>
    </row>
    <row r="127" spans="1:20" ht="16" customHeight="1">
      <c r="A127" s="48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6"/>
    </row>
    <row r="128" spans="1:20" ht="16" customHeight="1">
      <c r="A128" s="48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6"/>
    </row>
    <row r="129" spans="1:20" ht="16" customHeight="1">
      <c r="A129" s="48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6"/>
    </row>
    <row r="130" spans="1:20" ht="16" customHeight="1">
      <c r="A130" s="48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6"/>
    </row>
    <row r="131" spans="1:20" ht="16" customHeight="1">
      <c r="A131" s="48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6"/>
    </row>
    <row r="132" spans="1:20" ht="16" customHeight="1">
      <c r="A132" s="48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6"/>
    </row>
    <row r="133" spans="1:20" ht="16" customHeight="1">
      <c r="A133" s="48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6"/>
    </row>
    <row r="134" spans="1:20" ht="16" customHeight="1">
      <c r="A134" s="48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6"/>
    </row>
    <row r="135" spans="1:20" ht="16" customHeight="1">
      <c r="A135" s="48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6"/>
    </row>
    <row r="136" spans="1:20" ht="16" customHeight="1">
      <c r="A136" s="48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6"/>
    </row>
    <row r="137" spans="1:20" ht="16" customHeight="1">
      <c r="A137" s="48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6"/>
    </row>
    <row r="138" spans="1:20" ht="16" customHeight="1">
      <c r="A138" s="48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6"/>
    </row>
    <row r="139" spans="1:20" ht="16" customHeight="1">
      <c r="A139" s="48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6"/>
    </row>
    <row r="140" spans="1:20" ht="16" customHeight="1">
      <c r="A140" s="48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6"/>
    </row>
    <row r="141" spans="1:20" ht="16" customHeight="1">
      <c r="A141" s="48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6"/>
    </row>
    <row r="142" spans="1:20" ht="16" customHeight="1">
      <c r="A142" s="48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6"/>
    </row>
    <row r="143" spans="1:20" ht="16" customHeight="1">
      <c r="A143" s="48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6"/>
    </row>
    <row r="144" spans="1:20" ht="16" customHeight="1">
      <c r="A144" s="48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6"/>
    </row>
    <row r="145" spans="1:20" ht="16" customHeight="1">
      <c r="A145" s="48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6"/>
    </row>
    <row r="146" spans="1:20" ht="16" customHeight="1">
      <c r="A146" s="48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6"/>
    </row>
    <row r="147" spans="1:20" ht="16" customHeight="1">
      <c r="A147" s="48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6"/>
    </row>
    <row r="148" spans="1:20" ht="16" customHeight="1">
      <c r="A148" s="48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6"/>
    </row>
    <row r="149" spans="1:20" ht="16" customHeight="1">
      <c r="A149" s="48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6"/>
    </row>
    <row r="150" spans="1:20" ht="16" customHeight="1">
      <c r="A150" s="48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6"/>
    </row>
    <row r="151" spans="1:20" ht="16" customHeight="1">
      <c r="A151" s="48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6"/>
    </row>
    <row r="152" spans="1:20" ht="16" customHeight="1">
      <c r="A152" s="48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6"/>
    </row>
    <row r="153" spans="1:20" ht="16" customHeight="1">
      <c r="A153" s="48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6"/>
    </row>
    <row r="154" spans="1:20" ht="16" customHeight="1">
      <c r="A154" s="48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6"/>
    </row>
    <row r="155" spans="1:20" ht="16" customHeight="1">
      <c r="A155" s="48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6"/>
    </row>
    <row r="156" spans="1:20" ht="16" customHeight="1">
      <c r="A156" s="48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6"/>
    </row>
    <row r="157" spans="1:20" ht="16" customHeight="1">
      <c r="A157" s="48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6"/>
    </row>
    <row r="158" spans="1:20" ht="16" customHeight="1">
      <c r="A158" s="48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6"/>
    </row>
    <row r="159" spans="1:20" ht="16" customHeight="1">
      <c r="A159" s="48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6"/>
    </row>
    <row r="160" spans="1:20" ht="16" customHeight="1">
      <c r="A160" s="48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6"/>
    </row>
    <row r="161" spans="1:20" ht="16" customHeight="1">
      <c r="A161" s="48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6"/>
    </row>
    <row r="162" spans="1:20" ht="16" customHeight="1">
      <c r="A162" s="48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6"/>
    </row>
    <row r="163" spans="1:20" ht="16" customHeight="1">
      <c r="A163" s="48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6"/>
    </row>
    <row r="164" spans="1:20" ht="16" customHeight="1">
      <c r="A164" s="48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6"/>
    </row>
    <row r="165" spans="1:20" ht="16" customHeight="1">
      <c r="A165" s="48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6"/>
    </row>
    <row r="166" spans="1:20" ht="16" customHeight="1">
      <c r="A166" s="4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6"/>
    </row>
    <row r="167" spans="1:20" ht="16" customHeight="1">
      <c r="A167" s="4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6"/>
    </row>
    <row r="168" spans="1:20" ht="16" customHeight="1">
      <c r="A168" s="48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6"/>
    </row>
    <row r="169" spans="1:20" ht="16" customHeight="1">
      <c r="A169" s="48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6"/>
    </row>
    <row r="170" spans="1:20" ht="16" customHeight="1">
      <c r="A170" s="48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6"/>
    </row>
    <row r="171" spans="1:20" ht="16" customHeight="1">
      <c r="A171" s="48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6"/>
    </row>
    <row r="172" spans="1:20" ht="16" customHeight="1">
      <c r="A172" s="48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6"/>
    </row>
    <row r="173" spans="1:20" ht="16" customHeight="1">
      <c r="A173" s="48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6"/>
    </row>
    <row r="174" spans="1:20" ht="16" customHeight="1">
      <c r="A174" s="48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6"/>
    </row>
    <row r="175" spans="1:20" ht="16" customHeight="1">
      <c r="A175" s="48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6"/>
    </row>
    <row r="176" spans="1:20" ht="16" customHeight="1">
      <c r="A176" s="48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6"/>
    </row>
    <row r="177" spans="1:20" ht="16" customHeight="1">
      <c r="A177" s="48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6"/>
    </row>
    <row r="178" spans="1:20" ht="16" customHeight="1">
      <c r="A178" s="48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6"/>
    </row>
    <row r="179" spans="1:20" ht="16" customHeight="1">
      <c r="A179" s="48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6"/>
    </row>
    <row r="180" spans="1:20" ht="16" customHeight="1">
      <c r="A180" s="48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6"/>
    </row>
    <row r="181" spans="1:20" ht="16" customHeight="1">
      <c r="A181" s="48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6"/>
    </row>
    <row r="182" spans="1:20" ht="16" customHeight="1">
      <c r="A182" s="48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6"/>
    </row>
    <row r="183" spans="1:20" ht="16" customHeight="1">
      <c r="A183" s="48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6"/>
    </row>
    <row r="184" spans="1:20" ht="16" customHeight="1">
      <c r="A184" s="48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6"/>
    </row>
    <row r="185" spans="1:20" ht="16" customHeight="1">
      <c r="A185" s="48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6"/>
    </row>
    <row r="186" spans="1:20" ht="16" customHeight="1">
      <c r="A186" s="48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6"/>
    </row>
    <row r="187" spans="1:20" ht="16" customHeight="1">
      <c r="A187" s="48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6"/>
    </row>
    <row r="188" spans="1:20" ht="16" customHeight="1">
      <c r="A188" s="48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6"/>
    </row>
    <row r="189" spans="1:20" ht="16" customHeight="1">
      <c r="A189" s="48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6"/>
    </row>
    <row r="190" spans="1:20" ht="16" customHeight="1">
      <c r="A190" s="48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6"/>
    </row>
    <row r="191" spans="1:20" ht="16" customHeight="1">
      <c r="A191" s="48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6"/>
    </row>
    <row r="192" spans="1:20" ht="16" customHeight="1">
      <c r="A192" s="48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6"/>
    </row>
    <row r="193" spans="1:20" ht="16" customHeight="1">
      <c r="A193" s="48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6"/>
    </row>
    <row r="194" spans="1:20" ht="16" customHeight="1">
      <c r="A194" s="48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6"/>
    </row>
    <row r="195" spans="1:20" ht="16" customHeight="1">
      <c r="A195" s="48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6"/>
    </row>
    <row r="196" spans="1:20" ht="16" customHeight="1">
      <c r="A196" s="48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6"/>
    </row>
    <row r="197" spans="1:20" ht="16" customHeight="1">
      <c r="A197" s="48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6"/>
    </row>
    <row r="198" spans="1:20" ht="16" customHeight="1">
      <c r="A198" s="48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6"/>
    </row>
    <row r="199" spans="1:20" ht="16" customHeight="1">
      <c r="A199" s="48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6"/>
    </row>
    <row r="200" spans="1:20" ht="16" customHeight="1">
      <c r="A200" s="48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6"/>
    </row>
    <row r="201" spans="1:20" ht="16" customHeight="1">
      <c r="A201" s="48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6"/>
    </row>
    <row r="202" spans="1:20" ht="16" customHeight="1">
      <c r="A202" s="48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6"/>
    </row>
    <row r="203" spans="1:20" ht="16" customHeight="1">
      <c r="A203" s="48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6"/>
    </row>
    <row r="204" spans="1:20" ht="16" customHeight="1">
      <c r="A204" s="48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6"/>
    </row>
    <row r="205" spans="1:20" ht="16" customHeight="1">
      <c r="A205" s="48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6"/>
    </row>
    <row r="206" spans="1:20" ht="16" customHeight="1">
      <c r="A206" s="4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6"/>
    </row>
    <row r="207" spans="1:20" ht="16" customHeight="1">
      <c r="A207" s="4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6"/>
    </row>
    <row r="208" spans="1:20" ht="16" customHeight="1">
      <c r="A208" s="48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6"/>
    </row>
    <row r="209" spans="1:20" ht="16" customHeight="1">
      <c r="A209" s="48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6"/>
    </row>
    <row r="210" spans="1:20" ht="16" customHeight="1">
      <c r="A210" s="48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6"/>
    </row>
    <row r="211" spans="1:20" ht="16" customHeight="1">
      <c r="A211" s="48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6"/>
    </row>
    <row r="212" spans="1:20" ht="16" customHeight="1">
      <c r="A212" s="48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6"/>
    </row>
    <row r="213" spans="1:20" ht="16" customHeight="1">
      <c r="A213" s="48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6"/>
    </row>
    <row r="214" spans="1:20" ht="16" customHeight="1">
      <c r="A214" s="48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6"/>
    </row>
    <row r="215" spans="1:20" ht="16" customHeight="1">
      <c r="A215" s="48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6"/>
    </row>
    <row r="216" spans="1:20" ht="16" customHeight="1">
      <c r="A216" s="48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6"/>
    </row>
    <row r="217" spans="1:20" ht="16" customHeight="1">
      <c r="A217" s="48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6"/>
    </row>
    <row r="218" spans="1:20" ht="16" customHeight="1">
      <c r="A218" s="48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6"/>
    </row>
    <row r="219" spans="1:20" ht="16" customHeight="1">
      <c r="A219" s="48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6"/>
    </row>
    <row r="220" spans="1:20" ht="16" customHeight="1">
      <c r="A220" s="48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6"/>
    </row>
    <row r="221" spans="1:20" ht="16" customHeight="1">
      <c r="A221" s="48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6"/>
    </row>
    <row r="222" spans="1:20" ht="16" customHeight="1">
      <c r="A222" s="48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6"/>
    </row>
    <row r="223" spans="1:20" ht="16" customHeight="1">
      <c r="A223" s="48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6"/>
    </row>
    <row r="224" spans="1:20" ht="16" customHeight="1">
      <c r="A224" s="48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6"/>
    </row>
    <row r="225" spans="1:20" ht="16" customHeight="1">
      <c r="A225" s="48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6"/>
    </row>
    <row r="226" spans="1:20" ht="16" customHeight="1">
      <c r="A226" s="48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6"/>
    </row>
    <row r="227" spans="1:20" ht="16" customHeight="1">
      <c r="A227" s="48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6"/>
    </row>
    <row r="228" spans="1:20" ht="16" customHeight="1">
      <c r="A228" s="48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6"/>
    </row>
    <row r="229" spans="1:20" ht="16" customHeight="1">
      <c r="A229" s="48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6"/>
    </row>
    <row r="230" spans="1:20" ht="16" customHeight="1">
      <c r="A230" s="48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6"/>
    </row>
    <row r="231" spans="1:20" ht="16" customHeight="1">
      <c r="A231" s="48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6"/>
    </row>
    <row r="232" spans="1:20" ht="16" customHeight="1">
      <c r="A232" s="48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6"/>
    </row>
    <row r="233" spans="1:20" ht="16" customHeight="1">
      <c r="A233" s="48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6"/>
    </row>
    <row r="234" spans="1:20" ht="16" customHeight="1">
      <c r="A234" s="48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6"/>
    </row>
    <row r="235" spans="1:20" ht="16" customHeight="1">
      <c r="A235" s="48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6"/>
    </row>
    <row r="236" spans="1:20" ht="16" customHeight="1">
      <c r="A236" s="48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6"/>
    </row>
    <row r="237" spans="1:20" ht="16" customHeight="1">
      <c r="A237" s="48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6"/>
    </row>
    <row r="238" spans="1:20" ht="16" customHeight="1">
      <c r="A238" s="48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6"/>
    </row>
    <row r="239" spans="1:20" ht="16" customHeight="1">
      <c r="A239" s="48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6"/>
    </row>
    <row r="240" spans="1:20" ht="16" customHeight="1">
      <c r="A240" s="48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6"/>
    </row>
    <row r="241" spans="1:20" ht="16" customHeight="1">
      <c r="A241" s="48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6"/>
    </row>
    <row r="242" spans="1:20" ht="16" customHeight="1">
      <c r="A242" s="52" t="s">
        <v>15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6"/>
    </row>
    <row r="243" spans="1:20" ht="16" customHeight="1">
      <c r="A243" s="52" t="s">
        <v>16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6"/>
    </row>
    <row r="244" spans="1:20" ht="16" customHeight="1">
      <c r="A244" s="52" t="s">
        <v>17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6"/>
    </row>
    <row r="245" spans="1:20" ht="16" customHeight="1">
      <c r="A245" s="53" t="s">
        <v>18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5"/>
    </row>
  </sheetData>
  <mergeCells count="9">
    <mergeCell ref="B1:C1"/>
    <mergeCell ref="E11:J11"/>
    <mergeCell ref="E16:J16"/>
    <mergeCell ref="E13:J13"/>
    <mergeCell ref="E15:J15"/>
    <mergeCell ref="E12:J12"/>
    <mergeCell ref="E14:J14"/>
    <mergeCell ref="D5:E5"/>
    <mergeCell ref="H3:J7"/>
  </mergeCells>
  <pageMargins left="0.7" right="0.7" top="0.75" bottom="0.75" header="0.3" footer="0.3"/>
  <pageSetup orientation="portrait"/>
  <headerFooter>
    <oddFooter>&amp;C&amp;"Helvetica Neue,Regular"&amp;11&amp;K000000&amp;P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7"/>
  <sheetViews>
    <sheetView showGridLines="0" topLeftCell="A4" workbookViewId="0">
      <selection activeCell="K8" sqref="K8:L14"/>
    </sheetView>
  </sheetViews>
  <sheetFormatPr baseColWidth="10" defaultColWidth="11.1640625" defaultRowHeight="15" customHeight="1"/>
  <cols>
    <col min="1" max="1" width="7" style="1" customWidth="1"/>
    <col min="2" max="2" width="16.1640625" style="1" customWidth="1"/>
    <col min="3" max="3" width="13.83203125" style="1" customWidth="1"/>
    <col min="4" max="5" width="9.1640625" style="1" customWidth="1"/>
    <col min="6" max="6" width="14.5" style="1" customWidth="1"/>
    <col min="7" max="7" width="15.33203125" style="1" customWidth="1"/>
    <col min="8" max="12" width="27.1640625" style="1" customWidth="1"/>
    <col min="13" max="13" width="24.1640625" style="1" customWidth="1"/>
    <col min="14" max="14" width="18.83203125" style="1" customWidth="1"/>
    <col min="15" max="15" width="15" style="1" customWidth="1"/>
    <col min="16" max="256" width="11.1640625" style="1" customWidth="1"/>
  </cols>
  <sheetData>
    <row r="1" spans="1:15" ht="40" customHeight="1">
      <c r="A1" s="56"/>
      <c r="B1" s="57" t="s">
        <v>19</v>
      </c>
      <c r="C1" s="58"/>
      <c r="D1" s="6"/>
      <c r="E1" s="6"/>
      <c r="F1" s="59"/>
      <c r="G1" s="60"/>
      <c r="H1" s="61" t="s">
        <v>20</v>
      </c>
      <c r="I1" s="6"/>
      <c r="J1" s="6"/>
      <c r="K1" s="6"/>
      <c r="L1" s="6"/>
      <c r="M1" s="6"/>
      <c r="N1" s="6"/>
      <c r="O1" s="7"/>
    </row>
    <row r="2" spans="1:15" ht="15.75" customHeight="1">
      <c r="A2" s="48"/>
      <c r="B2" s="62"/>
      <c r="C2" s="62"/>
      <c r="D2" s="15"/>
      <c r="E2" s="15"/>
      <c r="F2" s="63"/>
      <c r="G2" s="64"/>
      <c r="H2" s="65"/>
      <c r="I2" s="65"/>
      <c r="J2" s="65"/>
      <c r="K2" s="65"/>
      <c r="L2" s="65"/>
      <c r="M2" s="15"/>
      <c r="N2" s="15"/>
      <c r="O2" s="16"/>
    </row>
    <row r="3" spans="1:15" ht="28" customHeight="1">
      <c r="A3" s="48"/>
      <c r="B3" s="556" t="str">
        <f>"Summary &amp; P&amp;L "&amp;Introduction!D4</f>
        <v>Summary &amp; P&amp;L Unicorn Inc.</v>
      </c>
      <c r="C3" s="66"/>
      <c r="D3" s="66"/>
      <c r="E3" s="66"/>
      <c r="F3" s="67"/>
      <c r="G3" s="68" t="s">
        <v>21</v>
      </c>
      <c r="H3" s="68" t="s">
        <v>22</v>
      </c>
      <c r="I3" s="68" t="s">
        <v>23</v>
      </c>
      <c r="J3" s="68" t="s">
        <v>24</v>
      </c>
      <c r="K3" s="68" t="s">
        <v>25</v>
      </c>
      <c r="L3" s="69" t="s">
        <v>26</v>
      </c>
      <c r="M3" s="70"/>
      <c r="N3" s="70"/>
      <c r="O3" s="70"/>
    </row>
    <row r="4" spans="1:15" ht="16" customHeight="1">
      <c r="A4" s="48"/>
      <c r="B4" s="71"/>
      <c r="C4" s="71"/>
      <c r="D4" s="71"/>
      <c r="E4" s="71"/>
      <c r="F4" s="72"/>
      <c r="G4" s="73"/>
      <c r="H4" s="73"/>
      <c r="I4" s="73"/>
      <c r="J4" s="73"/>
      <c r="K4" s="74"/>
      <c r="L4" s="517"/>
      <c r="M4" s="15"/>
      <c r="N4" s="15"/>
      <c r="O4" s="16"/>
    </row>
    <row r="5" spans="1:15" ht="20" customHeight="1">
      <c r="A5" s="8"/>
      <c r="B5" s="75" t="s">
        <v>27</v>
      </c>
      <c r="C5" s="76"/>
      <c r="D5" s="77"/>
      <c r="E5" s="78"/>
      <c r="F5" s="79"/>
      <c r="G5" s="68" t="str">
        <f t="shared" ref="G5:G73" si="0">G$3</f>
        <v>Past Year</v>
      </c>
      <c r="H5" s="68" t="s">
        <v>22</v>
      </c>
      <c r="I5" s="68" t="s">
        <v>23</v>
      </c>
      <c r="J5" s="68" t="s">
        <v>24</v>
      </c>
      <c r="K5" s="68" t="s">
        <v>25</v>
      </c>
      <c r="L5" s="68" t="s">
        <v>26</v>
      </c>
      <c r="M5" s="14"/>
      <c r="N5" s="15"/>
      <c r="O5" s="16"/>
    </row>
    <row r="6" spans="1:15" ht="15.75" customHeight="1">
      <c r="A6" s="94"/>
      <c r="B6" s="552"/>
      <c r="C6" s="547"/>
      <c r="D6" s="155"/>
      <c r="E6" s="548"/>
      <c r="F6" s="549"/>
      <c r="G6" s="550"/>
      <c r="H6" s="157"/>
      <c r="I6" s="551"/>
      <c r="J6" s="157"/>
      <c r="K6" s="157"/>
      <c r="L6" s="157"/>
      <c r="M6" s="85"/>
      <c r="N6" s="15"/>
      <c r="O6" s="16"/>
    </row>
    <row r="7" spans="1:15" ht="19" customHeight="1">
      <c r="A7" s="8"/>
      <c r="B7" s="124" t="s">
        <v>28</v>
      </c>
      <c r="C7" s="544"/>
      <c r="D7" s="544"/>
      <c r="E7" s="544"/>
      <c r="F7" s="545"/>
      <c r="G7" s="546"/>
      <c r="H7" s="546"/>
      <c r="I7" s="546"/>
      <c r="J7" s="546"/>
      <c r="K7" s="546"/>
      <c r="L7" s="546"/>
      <c r="M7" s="14"/>
      <c r="N7" s="15"/>
      <c r="O7" s="16"/>
    </row>
    <row r="8" spans="1:15" ht="16" customHeight="1">
      <c r="A8" s="108"/>
      <c r="B8" s="111"/>
      <c r="C8" s="109"/>
      <c r="D8" s="109"/>
      <c r="E8" s="109"/>
      <c r="F8" s="114" t="str">
        <f>Revenue!B5</f>
        <v>Subscriptions</v>
      </c>
      <c r="G8" s="231">
        <v>350000</v>
      </c>
      <c r="H8" s="84">
        <f>Revenue!H51</f>
        <v>972983.4171428571</v>
      </c>
      <c r="I8" s="84">
        <f>Revenue!I51</f>
        <v>1985420.2971428572</v>
      </c>
      <c r="J8" s="84">
        <f>Revenue!J51</f>
        <v>3520691.8971428573</v>
      </c>
      <c r="K8" s="84">
        <f>Revenue!K51</f>
        <v>5956467.0171428565</v>
      </c>
      <c r="L8" s="84">
        <f>Revenue!L51</f>
        <v>9973822.6971428562</v>
      </c>
      <c r="M8" s="14"/>
      <c r="N8" s="15"/>
      <c r="O8" s="16"/>
    </row>
    <row r="9" spans="1:15" ht="16" customHeight="1">
      <c r="A9" s="108"/>
      <c r="B9" s="111"/>
      <c r="C9" s="109"/>
      <c r="D9" s="109"/>
      <c r="E9" s="109"/>
      <c r="F9" s="114" t="str">
        <f>Revenue!B53</f>
        <v>Large Recurring Contracts</v>
      </c>
      <c r="G9" s="231">
        <v>0</v>
      </c>
      <c r="H9" s="84">
        <f>Revenue!H67</f>
        <v>70000</v>
      </c>
      <c r="I9" s="84">
        <f>Revenue!I67</f>
        <v>167999.99999999997</v>
      </c>
      <c r="J9" s="84">
        <f>Revenue!J67</f>
        <v>305199.99999999994</v>
      </c>
      <c r="K9" s="84">
        <f>Revenue!K67</f>
        <v>497279.99999999994</v>
      </c>
      <c r="L9" s="84">
        <f>Revenue!L67</f>
        <v>766191.99999999988</v>
      </c>
      <c r="M9" s="14"/>
      <c r="N9" s="15"/>
      <c r="O9" s="16"/>
    </row>
    <row r="10" spans="1:15" ht="16" customHeight="1">
      <c r="A10" s="108"/>
      <c r="B10" s="111"/>
      <c r="C10" s="109"/>
      <c r="D10" s="109"/>
      <c r="E10" s="109"/>
      <c r="F10" s="114" t="str">
        <f>Revenue!B69</f>
        <v>E-commerce Sales</v>
      </c>
      <c r="G10" s="231">
        <v>0</v>
      </c>
      <c r="H10" s="84">
        <f>Revenue!H98</f>
        <v>0</v>
      </c>
      <c r="I10" s="84">
        <f>Revenue!I98</f>
        <v>0</v>
      </c>
      <c r="J10" s="84">
        <f>Revenue!J98</f>
        <v>0</v>
      </c>
      <c r="K10" s="84">
        <f>Revenue!K98</f>
        <v>0</v>
      </c>
      <c r="L10" s="84">
        <f>Revenue!L98</f>
        <v>0</v>
      </c>
      <c r="M10" s="14"/>
      <c r="N10" s="15"/>
      <c r="O10" s="16"/>
    </row>
    <row r="11" spans="1:15" ht="16" customHeight="1">
      <c r="A11" s="108"/>
      <c r="B11" s="111"/>
      <c r="C11" s="109"/>
      <c r="D11" s="109"/>
      <c r="E11" s="109"/>
      <c r="F11" s="114" t="str">
        <f>Revenue!B100</f>
        <v>Outbound Sales</v>
      </c>
      <c r="G11" s="231">
        <v>0</v>
      </c>
      <c r="H11" s="84">
        <f>Revenue!H121</f>
        <v>0</v>
      </c>
      <c r="I11" s="84">
        <f>Revenue!I121</f>
        <v>0</v>
      </c>
      <c r="J11" s="84">
        <f>Revenue!J121</f>
        <v>0</v>
      </c>
      <c r="K11" s="84">
        <f>Revenue!K121</f>
        <v>0</v>
      </c>
      <c r="L11" s="84">
        <f>Revenue!L121</f>
        <v>0</v>
      </c>
      <c r="M11" s="14"/>
      <c r="N11" s="15"/>
      <c r="O11" s="16"/>
    </row>
    <row r="12" spans="1:15" ht="17" customHeight="1">
      <c r="A12" s="8"/>
      <c r="B12" s="86"/>
      <c r="C12" s="87"/>
      <c r="D12" s="87"/>
      <c r="E12" s="87"/>
      <c r="F12" s="88"/>
      <c r="G12" s="89"/>
      <c r="H12" s="89"/>
      <c r="I12" s="89"/>
      <c r="J12" s="89"/>
      <c r="K12" s="89"/>
      <c r="L12" s="89"/>
      <c r="M12" s="14"/>
      <c r="N12" s="15"/>
      <c r="O12" s="16"/>
    </row>
    <row r="13" spans="1:15" ht="17" customHeight="1">
      <c r="A13" s="8"/>
      <c r="B13" s="90" t="s">
        <v>29</v>
      </c>
      <c r="C13" s="91"/>
      <c r="D13" s="91"/>
      <c r="E13" s="614"/>
      <c r="F13" s="615"/>
      <c r="G13" s="92">
        <f>SUM(G8:G9)</f>
        <v>350000</v>
      </c>
      <c r="H13" s="93">
        <f>Revenue!H123</f>
        <v>1042983.4171428571</v>
      </c>
      <c r="I13" s="93">
        <f>Revenue!I123</f>
        <v>2153420.2971428572</v>
      </c>
      <c r="J13" s="93">
        <f>Revenue!J123</f>
        <v>3825891.8971428573</v>
      </c>
      <c r="K13" s="93">
        <f>Revenue!K123</f>
        <v>6453747.0171428565</v>
      </c>
      <c r="L13" s="93">
        <f>Revenue!L123</f>
        <v>10740014.697142856</v>
      </c>
      <c r="M13" s="14"/>
      <c r="N13" s="15"/>
      <c r="O13" s="16"/>
    </row>
    <row r="14" spans="1:15" ht="15.75" customHeight="1">
      <c r="A14" s="94"/>
      <c r="B14" s="95" t="s">
        <v>30</v>
      </c>
      <c r="C14" s="96"/>
      <c r="D14" s="96"/>
      <c r="E14" s="96"/>
      <c r="F14" s="97"/>
      <c r="G14" s="98"/>
      <c r="H14" s="98">
        <f>IFERROR(H13/G13,"")</f>
        <v>2.979952620408163</v>
      </c>
      <c r="I14" s="98">
        <f>IFERROR(I13/H13,"")</f>
        <v>2.0646735717447213</v>
      </c>
      <c r="J14" s="98">
        <f>IFERROR(J13/I13,"")</f>
        <v>1.7766582316601285</v>
      </c>
      <c r="K14" s="98">
        <f>IFERROR(K13/J13,"")</f>
        <v>1.6868607871441581</v>
      </c>
      <c r="L14" s="99">
        <f>IFERROR(L13/K13,"")</f>
        <v>1.6641517971830226</v>
      </c>
      <c r="M14" s="100"/>
      <c r="N14" s="15"/>
      <c r="O14" s="16"/>
    </row>
    <row r="15" spans="1:15" ht="15" customHeight="1">
      <c r="A15" s="94"/>
      <c r="B15" s="113"/>
      <c r="C15" s="102"/>
      <c r="D15" s="15"/>
      <c r="E15" s="103"/>
      <c r="F15" s="104"/>
      <c r="G15" s="105"/>
      <c r="H15" s="106"/>
      <c r="I15" s="107"/>
      <c r="J15" s="106"/>
      <c r="K15" s="106"/>
      <c r="L15" s="106"/>
      <c r="M15" s="85"/>
      <c r="N15" s="15"/>
      <c r="O15" s="16"/>
    </row>
    <row r="16" spans="1:15" ht="19" customHeight="1">
      <c r="A16" s="108"/>
      <c r="B16" s="124" t="s">
        <v>260</v>
      </c>
      <c r="C16" s="109"/>
      <c r="D16" s="109"/>
      <c r="E16" s="109"/>
      <c r="F16" s="110"/>
      <c r="G16" s="105"/>
      <c r="H16" s="105"/>
      <c r="I16" s="105"/>
      <c r="J16" s="105"/>
      <c r="K16" s="105"/>
      <c r="L16" s="105"/>
      <c r="M16" s="14"/>
      <c r="N16" s="102"/>
      <c r="O16" s="16"/>
    </row>
    <row r="17" spans="1:15" ht="16" customHeight="1">
      <c r="A17" s="108"/>
      <c r="B17" s="111"/>
      <c r="C17" s="109"/>
      <c r="D17" s="109"/>
      <c r="E17" s="109"/>
      <c r="F17" s="114" t="str">
        <f>Costs!B133</f>
        <v>Variable costs</v>
      </c>
      <c r="G17" s="231">
        <v>50000</v>
      </c>
      <c r="H17" s="84">
        <f>Costs!H16</f>
        <v>65000</v>
      </c>
      <c r="I17" s="84">
        <f>Costs!I16</f>
        <v>71500</v>
      </c>
      <c r="J17" s="84">
        <f>Costs!J16</f>
        <v>78650</v>
      </c>
      <c r="K17" s="84">
        <f>Costs!K16</f>
        <v>86515</v>
      </c>
      <c r="L17" s="84">
        <f>Costs!L16</f>
        <v>95166.500000000015</v>
      </c>
      <c r="M17" s="14"/>
      <c r="N17" s="15"/>
      <c r="O17" s="16"/>
    </row>
    <row r="18" spans="1:15" ht="17" customHeight="1">
      <c r="A18" s="108"/>
      <c r="B18" s="101"/>
      <c r="C18" s="115"/>
      <c r="D18" s="116"/>
      <c r="E18" s="117"/>
      <c r="F18" s="118"/>
      <c r="G18" s="119"/>
      <c r="H18" s="120"/>
      <c r="I18" s="120"/>
      <c r="J18" s="120"/>
      <c r="K18" s="119"/>
      <c r="L18" s="119"/>
      <c r="M18" s="14"/>
      <c r="N18" s="15"/>
      <c r="O18" s="16"/>
    </row>
    <row r="19" spans="1:15" ht="15.75" customHeight="1">
      <c r="A19" s="94"/>
      <c r="B19" s="90" t="str">
        <f>"Total "&amp;B16</f>
        <v>Total Cost of goods sold</v>
      </c>
      <c r="C19" s="91"/>
      <c r="D19" s="91"/>
      <c r="E19" s="614"/>
      <c r="F19" s="615"/>
      <c r="G19" s="92">
        <f t="shared" ref="G19:L19" si="1">SUM(G17:G17)</f>
        <v>50000</v>
      </c>
      <c r="H19" s="121">
        <f t="shared" si="1"/>
        <v>65000</v>
      </c>
      <c r="I19" s="121">
        <f t="shared" si="1"/>
        <v>71500</v>
      </c>
      <c r="J19" s="121">
        <f t="shared" si="1"/>
        <v>78650</v>
      </c>
      <c r="K19" s="93">
        <f t="shared" si="1"/>
        <v>86515</v>
      </c>
      <c r="L19" s="93">
        <f t="shared" si="1"/>
        <v>95166.500000000015</v>
      </c>
      <c r="M19" s="14"/>
      <c r="N19" s="15"/>
      <c r="O19" s="16"/>
    </row>
    <row r="20" spans="1:15" ht="15.75" customHeight="1">
      <c r="A20" s="94"/>
      <c r="B20" s="95" t="s">
        <v>32</v>
      </c>
      <c r="C20" s="96"/>
      <c r="D20" s="96"/>
      <c r="E20" s="96"/>
      <c r="F20" s="97"/>
      <c r="G20" s="98"/>
      <c r="H20" s="98">
        <f>H19/H$13</f>
        <v>6.2321220962516001E-2</v>
      </c>
      <c r="I20" s="98">
        <f>I19/I$13</f>
        <v>3.3202993440187081E-2</v>
      </c>
      <c r="J20" s="98">
        <f>J19/J$13</f>
        <v>2.0557298040421668E-2</v>
      </c>
      <c r="K20" s="98">
        <f>K19/K$13</f>
        <v>1.3405390662229757E-2</v>
      </c>
      <c r="L20" s="99">
        <f>L19/L$13</f>
        <v>8.8609282839544872E-3</v>
      </c>
      <c r="M20" s="518"/>
      <c r="N20" s="15"/>
      <c r="O20" s="16"/>
    </row>
    <row r="21" spans="1:15" ht="16.5" customHeight="1">
      <c r="A21" s="108"/>
      <c r="B21" s="81"/>
      <c r="C21" s="82"/>
      <c r="D21" s="82"/>
      <c r="E21" s="82"/>
      <c r="F21" s="122"/>
      <c r="G21" s="123"/>
      <c r="H21" s="123"/>
      <c r="I21" s="123"/>
      <c r="J21" s="123"/>
      <c r="K21" s="123"/>
      <c r="L21" s="123"/>
      <c r="M21" s="14"/>
      <c r="N21" s="15"/>
      <c r="O21" s="16"/>
    </row>
    <row r="22" spans="1:15" ht="19" customHeight="1">
      <c r="A22" s="108"/>
      <c r="B22" s="124" t="s">
        <v>31</v>
      </c>
      <c r="C22" s="109"/>
      <c r="D22" s="109"/>
      <c r="E22" s="109"/>
      <c r="F22" s="110"/>
      <c r="G22" s="105"/>
      <c r="H22" s="105"/>
      <c r="I22" s="105"/>
      <c r="J22" s="105"/>
      <c r="K22" s="105"/>
      <c r="L22" s="105"/>
      <c r="M22" s="14"/>
      <c r="N22" s="102"/>
      <c r="O22" s="16"/>
    </row>
    <row r="23" spans="1:15" ht="16" customHeight="1">
      <c r="A23" s="108"/>
      <c r="B23" s="111"/>
      <c r="C23" s="109"/>
      <c r="D23" s="109"/>
      <c r="E23" s="109"/>
      <c r="F23" s="114" t="str">
        <f>Costs!B7</f>
        <v>Executives</v>
      </c>
      <c r="G23" s="231">
        <v>80000</v>
      </c>
      <c r="H23" s="84">
        <f>Costs!H29</f>
        <v>195000</v>
      </c>
      <c r="I23" s="84">
        <f>Costs!I29</f>
        <v>214500</v>
      </c>
      <c r="J23" s="84">
        <f>Costs!J29</f>
        <v>235950</v>
      </c>
      <c r="K23" s="84">
        <f>Costs!K29</f>
        <v>259545.00000000003</v>
      </c>
      <c r="L23" s="84">
        <f>Costs!L29</f>
        <v>285499.50000000006</v>
      </c>
      <c r="M23" s="14"/>
      <c r="N23" s="15"/>
      <c r="O23" s="16"/>
    </row>
    <row r="24" spans="1:15" ht="19" customHeight="1">
      <c r="A24" s="108"/>
      <c r="B24" s="113"/>
      <c r="C24" s="102"/>
      <c r="D24" s="15"/>
      <c r="E24" s="103"/>
      <c r="F24" s="114" t="str">
        <f>Costs!B32</f>
        <v>Management</v>
      </c>
      <c r="G24" s="231">
        <v>0</v>
      </c>
      <c r="H24" s="84">
        <f>Costs!H41</f>
        <v>0</v>
      </c>
      <c r="I24" s="84">
        <f>Costs!I41</f>
        <v>0</v>
      </c>
      <c r="J24" s="84">
        <f>Costs!J41</f>
        <v>0</v>
      </c>
      <c r="K24" s="84">
        <f>Costs!K41</f>
        <v>53060.399999999994</v>
      </c>
      <c r="L24" s="84">
        <f>Costs!L41</f>
        <v>162364.82399999999</v>
      </c>
      <c r="M24" s="14"/>
      <c r="N24" s="15"/>
      <c r="O24" s="16"/>
    </row>
    <row r="25" spans="1:15" ht="19" customHeight="1">
      <c r="A25" s="108"/>
      <c r="B25" s="113"/>
      <c r="C25" s="102"/>
      <c r="D25" s="15"/>
      <c r="E25" s="103"/>
      <c r="F25" s="114" t="str">
        <f>Costs!B44</f>
        <v>Technology development</v>
      </c>
      <c r="G25" s="231">
        <v>300000</v>
      </c>
      <c r="H25" s="84">
        <f>Costs!H62</f>
        <v>720000</v>
      </c>
      <c r="I25" s="84">
        <f>Costs!I62</f>
        <v>820300</v>
      </c>
      <c r="J25" s="84">
        <f>Costs!J62</f>
        <v>977160</v>
      </c>
      <c r="K25" s="84">
        <f>Costs!K62</f>
        <v>1139966.28</v>
      </c>
      <c r="L25" s="84">
        <f>Costs!L62</f>
        <v>1893407.3136</v>
      </c>
      <c r="M25" s="14"/>
      <c r="N25" s="15"/>
      <c r="O25" s="16"/>
    </row>
    <row r="26" spans="1:15" ht="19" customHeight="1">
      <c r="A26" s="108"/>
      <c r="B26" s="113"/>
      <c r="C26" s="102"/>
      <c r="D26" s="15"/>
      <c r="E26" s="103"/>
      <c r="F26" s="114" t="str">
        <f>Costs!B65</f>
        <v>Sales and marketing</v>
      </c>
      <c r="G26" s="231">
        <v>30000</v>
      </c>
      <c r="H26" s="84">
        <f>Costs!H83</f>
        <v>320000</v>
      </c>
      <c r="I26" s="84">
        <f>Costs!I83</f>
        <v>440000.00000000006</v>
      </c>
      <c r="J26" s="84">
        <f>Costs!J83</f>
        <v>629200.00000000012</v>
      </c>
      <c r="K26" s="84">
        <f>Costs!K83</f>
        <v>798600.00000000023</v>
      </c>
      <c r="L26" s="84">
        <f>Costs!L83</f>
        <v>1464100.0000000005</v>
      </c>
      <c r="M26" s="14"/>
      <c r="N26" s="15"/>
      <c r="O26" s="16"/>
    </row>
    <row r="27" spans="1:15" ht="19" customHeight="1">
      <c r="A27" s="108"/>
      <c r="B27" s="113"/>
      <c r="C27" s="102"/>
      <c r="D27" s="15"/>
      <c r="E27" s="103"/>
      <c r="F27" s="83" t="str">
        <f>Costs!B86</f>
        <v>Operations and customer support</v>
      </c>
      <c r="G27" s="231">
        <v>0</v>
      </c>
      <c r="H27" s="84">
        <f>Costs!H106</f>
        <v>40000</v>
      </c>
      <c r="I27" s="84">
        <f>Costs!I106</f>
        <v>122400</v>
      </c>
      <c r="J27" s="84">
        <f>Costs!J106</f>
        <v>208080</v>
      </c>
      <c r="K27" s="84">
        <f>Costs!K106</f>
        <v>339586.56</v>
      </c>
      <c r="L27" s="84">
        <f>Costs!L106</f>
        <v>562864.72320000001</v>
      </c>
      <c r="M27" s="14"/>
      <c r="N27" s="102"/>
      <c r="O27" s="16"/>
    </row>
    <row r="28" spans="1:15" ht="19" customHeight="1">
      <c r="A28" s="108"/>
      <c r="B28" s="113"/>
      <c r="C28" s="102"/>
      <c r="D28" s="15"/>
      <c r="E28" s="103"/>
      <c r="F28" s="83" t="str">
        <f>Costs!B109</f>
        <v>Finance and administration</v>
      </c>
      <c r="G28" s="231">
        <v>0</v>
      </c>
      <c r="H28" s="84">
        <f>Costs!H118</f>
        <v>40000</v>
      </c>
      <c r="I28" s="84">
        <f>Costs!I118</f>
        <v>88000</v>
      </c>
      <c r="J28" s="84">
        <f>Costs!J118</f>
        <v>145200.00000000003</v>
      </c>
      <c r="K28" s="84">
        <f>Costs!K118</f>
        <v>266200.00000000006</v>
      </c>
      <c r="L28" s="84">
        <f>Costs!L118</f>
        <v>527076.00000000012</v>
      </c>
      <c r="M28" s="14"/>
      <c r="N28" s="15"/>
      <c r="O28" s="16"/>
    </row>
    <row r="29" spans="1:15" ht="19" customHeight="1">
      <c r="A29" s="108"/>
      <c r="B29" s="113"/>
      <c r="C29" s="102"/>
      <c r="D29" s="15"/>
      <c r="E29" s="103"/>
      <c r="F29" s="104"/>
      <c r="G29" s="112"/>
      <c r="H29" s="84"/>
      <c r="I29" s="84"/>
      <c r="J29" s="84"/>
      <c r="K29" s="84"/>
      <c r="L29" s="84"/>
      <c r="M29" s="14"/>
      <c r="N29" s="15"/>
      <c r="O29" s="16"/>
    </row>
    <row r="30" spans="1:15" ht="19" customHeight="1">
      <c r="A30" s="108"/>
      <c r="B30" s="113"/>
      <c r="C30" s="102"/>
      <c r="D30" s="15"/>
      <c r="E30" s="103"/>
      <c r="F30" s="83" t="str">
        <f>Costs!B125</f>
        <v>Other personnel expenses</v>
      </c>
      <c r="G30" s="231">
        <v>12000</v>
      </c>
      <c r="H30" s="84">
        <f>Costs!H127</f>
        <v>39844.5</v>
      </c>
      <c r="I30" s="84">
        <f>Costs!I127</f>
        <v>51061.56</v>
      </c>
      <c r="J30" s="84">
        <f>Costs!J127</f>
        <v>66526.376999999993</v>
      </c>
      <c r="K30" s="84">
        <f>Costs!K127</f>
        <v>86565.834672000012</v>
      </c>
      <c r="L30" s="84">
        <f>Costs!L127</f>
        <v>148327.96453224</v>
      </c>
      <c r="M30" s="14"/>
      <c r="N30" s="15"/>
      <c r="O30" s="16"/>
    </row>
    <row r="31" spans="1:15" ht="17" customHeight="1">
      <c r="A31" s="108"/>
      <c r="B31" s="101"/>
      <c r="C31" s="115"/>
      <c r="D31" s="116"/>
      <c r="E31" s="117"/>
      <c r="F31" s="118"/>
      <c r="G31" s="119"/>
      <c r="H31" s="120"/>
      <c r="I31" s="120"/>
      <c r="J31" s="120"/>
      <c r="K31" s="119"/>
      <c r="L31" s="119"/>
      <c r="M31" s="14"/>
      <c r="N31" s="15"/>
      <c r="O31" s="16"/>
    </row>
    <row r="32" spans="1:15" ht="15.75" customHeight="1">
      <c r="A32" s="94"/>
      <c r="B32" s="90" t="str">
        <f>"Total "&amp;B22</f>
        <v>Total Wage and Related</v>
      </c>
      <c r="C32" s="91"/>
      <c r="D32" s="91"/>
      <c r="E32" s="614"/>
      <c r="F32" s="615"/>
      <c r="G32" s="92">
        <f t="shared" ref="G32:L32" si="2">SUM(G23:G30)</f>
        <v>422000</v>
      </c>
      <c r="H32" s="121">
        <f t="shared" si="2"/>
        <v>1354844.5</v>
      </c>
      <c r="I32" s="121">
        <f t="shared" si="2"/>
        <v>1736261.56</v>
      </c>
      <c r="J32" s="121">
        <f t="shared" si="2"/>
        <v>2262116.3769999999</v>
      </c>
      <c r="K32" s="93">
        <f t="shared" si="2"/>
        <v>2943524.0746720005</v>
      </c>
      <c r="L32" s="93">
        <f t="shared" si="2"/>
        <v>5043640.3253322411</v>
      </c>
      <c r="M32" s="14"/>
      <c r="N32" s="15"/>
      <c r="O32" s="16"/>
    </row>
    <row r="33" spans="1:15" ht="15.75" customHeight="1">
      <c r="A33" s="94"/>
      <c r="B33" s="95" t="s">
        <v>32</v>
      </c>
      <c r="C33" s="96"/>
      <c r="D33" s="96"/>
      <c r="E33" s="96"/>
      <c r="F33" s="97"/>
      <c r="G33" s="98"/>
      <c r="H33" s="98">
        <f>H32/H$13</f>
        <v>1.2990086685284541</v>
      </c>
      <c r="I33" s="98">
        <f>I32/I$13</f>
        <v>0.80628085576404174</v>
      </c>
      <c r="J33" s="98">
        <f>J32/J$13</f>
        <v>0.59126510571020807</v>
      </c>
      <c r="K33" s="98">
        <f>K32/K$13</f>
        <v>0.4560953608583081</v>
      </c>
      <c r="L33" s="99">
        <f>L32/L$13</f>
        <v>0.46961205059374733</v>
      </c>
      <c r="M33" s="518"/>
      <c r="N33" s="15"/>
      <c r="O33" s="16"/>
    </row>
    <row r="34" spans="1:15" ht="16.5" customHeight="1">
      <c r="A34" s="108"/>
      <c r="B34" s="81"/>
      <c r="C34" s="82"/>
      <c r="D34" s="82"/>
      <c r="E34" s="82"/>
      <c r="F34" s="122"/>
      <c r="G34" s="123"/>
      <c r="H34" s="123"/>
      <c r="I34" s="123"/>
      <c r="J34" s="123"/>
      <c r="K34" s="123"/>
      <c r="L34" s="123"/>
      <c r="M34" s="14"/>
      <c r="N34" s="15"/>
      <c r="O34" s="16"/>
    </row>
    <row r="35" spans="1:15" ht="16.5" customHeight="1">
      <c r="A35" s="108"/>
      <c r="B35" s="124" t="s">
        <v>261</v>
      </c>
      <c r="C35" s="82"/>
      <c r="D35" s="82"/>
      <c r="E35" s="82"/>
      <c r="F35" s="122"/>
      <c r="G35" s="123"/>
      <c r="H35" s="123"/>
      <c r="I35" s="123"/>
      <c r="J35" s="123"/>
      <c r="K35" s="123"/>
      <c r="L35" s="123"/>
      <c r="M35" s="14"/>
      <c r="N35" s="15"/>
      <c r="O35" s="16"/>
    </row>
    <row r="36" spans="1:15" ht="16.5" customHeight="1">
      <c r="A36" s="108"/>
      <c r="B36" s="81"/>
      <c r="C36" s="82"/>
      <c r="D36" s="82"/>
      <c r="E36" s="82"/>
      <c r="F36" s="83" t="str">
        <f>Costs!B146</f>
        <v>Advertising and promotion</v>
      </c>
      <c r="G36" s="112">
        <f>Revenue!D10</f>
        <v>100000</v>
      </c>
      <c r="H36" s="84">
        <f>Costs!H154</f>
        <v>191719.33668571428</v>
      </c>
      <c r="I36" s="84">
        <f>Costs!I154</f>
        <v>356136.8118857143</v>
      </c>
      <c r="J36" s="84">
        <f>Costs!J154</f>
        <v>639035.67588571436</v>
      </c>
      <c r="K36" s="84">
        <f>Costs!K154</f>
        <v>1132949.8806857143</v>
      </c>
      <c r="L36" s="84">
        <f>Costs!L154</f>
        <v>2004240.5878857141</v>
      </c>
      <c r="M36" s="85"/>
      <c r="N36" s="15"/>
      <c r="O36" s="16"/>
    </row>
    <row r="37" spans="1:15" ht="16.5" customHeight="1">
      <c r="A37" s="108"/>
      <c r="B37" s="81"/>
      <c r="C37" s="82"/>
      <c r="D37" s="82"/>
      <c r="E37" s="82"/>
      <c r="F37" s="83" t="str">
        <f>Costs!B157</f>
        <v>Technology platform</v>
      </c>
      <c r="G37" s="112">
        <f>Costs!D159</f>
        <v>24000</v>
      </c>
      <c r="H37" s="84">
        <f>Costs!H171</f>
        <v>161216.008</v>
      </c>
      <c r="I37" s="84">
        <f>Costs!I171</f>
        <v>190784.166</v>
      </c>
      <c r="J37" s="84">
        <f>Costs!J171</f>
        <v>240740.3358</v>
      </c>
      <c r="K37" s="84">
        <f>Costs!K171</f>
        <v>303234.65836</v>
      </c>
      <c r="L37" s="84">
        <f>Costs!L171</f>
        <v>514527.37384000001</v>
      </c>
      <c r="M37" s="14"/>
      <c r="N37" s="15"/>
      <c r="O37" s="16"/>
    </row>
    <row r="38" spans="1:15" ht="16.5" customHeight="1">
      <c r="A38" s="108"/>
      <c r="B38" s="81"/>
      <c r="C38" s="82"/>
      <c r="D38" s="82"/>
      <c r="E38" s="82"/>
      <c r="F38" s="83" t="str">
        <f>Costs!B174</f>
        <v>Banking and insurance</v>
      </c>
      <c r="G38" s="231">
        <v>1000</v>
      </c>
      <c r="H38" s="84">
        <f>Costs!H182</f>
        <v>26778.883770285716</v>
      </c>
      <c r="I38" s="84">
        <f>Costs!I182</f>
        <v>54650.849458285724</v>
      </c>
      <c r="J38" s="84">
        <f>Costs!J182</f>
        <v>96629.886618285731</v>
      </c>
      <c r="K38" s="84">
        <f>Costs!K182</f>
        <v>162589.0501302857</v>
      </c>
      <c r="L38" s="84">
        <f>Costs!L182</f>
        <v>270174.36889828567</v>
      </c>
      <c r="M38" s="14"/>
      <c r="N38" s="15"/>
      <c r="O38" s="16"/>
    </row>
    <row r="39" spans="1:15" ht="16.5" customHeight="1">
      <c r="A39" s="108"/>
      <c r="B39" s="81"/>
      <c r="C39" s="82"/>
      <c r="D39" s="82"/>
      <c r="E39" s="82"/>
      <c r="F39" s="83" t="str">
        <f>Costs!B185</f>
        <v>Professional services</v>
      </c>
      <c r="G39" s="231">
        <v>1000</v>
      </c>
      <c r="H39" s="84">
        <f>Costs!H194</f>
        <v>61722.320102857142</v>
      </c>
      <c r="I39" s="84">
        <f>Costs!I194</f>
        <v>108930.23218285714</v>
      </c>
      <c r="J39" s="84">
        <f>Costs!J194</f>
        <v>179661.56778285716</v>
      </c>
      <c r="K39" s="84">
        <f>Costs!K194</f>
        <v>290043.62770285713</v>
      </c>
      <c r="L39" s="84">
        <f>Costs!L194</f>
        <v>474420.60258285713</v>
      </c>
      <c r="M39" s="14"/>
      <c r="N39" s="15"/>
      <c r="O39" s="16"/>
    </row>
    <row r="40" spans="1:15" ht="16.5" customHeight="1">
      <c r="A40" s="108"/>
      <c r="B40" s="81"/>
      <c r="C40" s="82"/>
      <c r="D40" s="82"/>
      <c r="E40" s="82"/>
      <c r="F40" s="83" t="str">
        <f>Costs!B197</f>
        <v>Facilities and infrastructure</v>
      </c>
      <c r="G40" s="112">
        <f>Costs!D199+Costs!D203</f>
        <v>16000</v>
      </c>
      <c r="H40" s="84">
        <f>Costs!H206</f>
        <v>16120</v>
      </c>
      <c r="I40" s="84">
        <f>Costs!I206</f>
        <v>28241.010000000002</v>
      </c>
      <c r="J40" s="84">
        <f>Costs!J206</f>
        <v>28484.420000000002</v>
      </c>
      <c r="K40" s="84">
        <f>Costs!K206</f>
        <v>28730.254000000001</v>
      </c>
      <c r="L40" s="84">
        <f>Costs!L206</f>
        <v>28978.536240000005</v>
      </c>
      <c r="M40" s="14"/>
      <c r="N40" s="15"/>
      <c r="O40" s="16"/>
    </row>
    <row r="41" spans="1:15" ht="16.5" customHeight="1">
      <c r="A41" s="108"/>
      <c r="B41" s="81"/>
      <c r="C41" s="82"/>
      <c r="D41" s="82"/>
      <c r="E41" s="82"/>
      <c r="F41" s="83" t="str">
        <f>Costs!B209</f>
        <v>General and administrative</v>
      </c>
      <c r="G41" s="112">
        <f>Costs!D214</f>
        <v>2500</v>
      </c>
      <c r="H41" s="84">
        <f>Costs!H225</f>
        <v>73659.668342857141</v>
      </c>
      <c r="I41" s="84">
        <f>Costs!I225</f>
        <v>104268.40594285715</v>
      </c>
      <c r="J41" s="84">
        <f>Costs!J225</f>
        <v>148517.83794285715</v>
      </c>
      <c r="K41" s="84">
        <f>Costs!K225</f>
        <v>214274.94034285715</v>
      </c>
      <c r="L41" s="84">
        <f>Costs!L225</f>
        <v>343200.29394285713</v>
      </c>
      <c r="M41" s="14"/>
      <c r="N41" s="15"/>
      <c r="O41" s="16"/>
    </row>
    <row r="42" spans="1:15" ht="16.5" customHeight="1">
      <c r="A42" s="108"/>
      <c r="B42" s="86"/>
      <c r="C42" s="87"/>
      <c r="D42" s="87"/>
      <c r="E42" s="87"/>
      <c r="F42" s="125"/>
      <c r="G42" s="89"/>
      <c r="H42" s="89"/>
      <c r="I42" s="89"/>
      <c r="J42" s="89"/>
      <c r="K42" s="89"/>
      <c r="L42" s="89"/>
      <c r="M42" s="14"/>
      <c r="N42" s="15"/>
      <c r="O42" s="16"/>
    </row>
    <row r="43" spans="1:15" ht="15.75" customHeight="1">
      <c r="A43" s="94"/>
      <c r="B43" s="90" t="str">
        <f>"Total "&amp;B35</f>
        <v>Total SG&amp;A and others</v>
      </c>
      <c r="C43" s="91"/>
      <c r="D43" s="91"/>
      <c r="E43" s="614"/>
      <c r="F43" s="618"/>
      <c r="G43" s="126">
        <f>SUM(G36:G41)</f>
        <v>144500</v>
      </c>
      <c r="H43" s="93">
        <f>SUM(H36:H41)</f>
        <v>531216.21690171422</v>
      </c>
      <c r="I43" s="93">
        <f t="shared" ref="I43:L43" si="3">SUM(I36:I41)</f>
        <v>843011.47546971426</v>
      </c>
      <c r="J43" s="93">
        <f t="shared" si="3"/>
        <v>1333069.7240297142</v>
      </c>
      <c r="K43" s="93">
        <f t="shared" si="3"/>
        <v>2131822.4112217142</v>
      </c>
      <c r="L43" s="93">
        <f t="shared" si="3"/>
        <v>3635541.7633897136</v>
      </c>
      <c r="M43" s="14"/>
      <c r="N43" s="15"/>
      <c r="O43" s="16"/>
    </row>
    <row r="44" spans="1:15" ht="15.75" customHeight="1">
      <c r="A44" s="94"/>
      <c r="B44" s="95" t="s">
        <v>32</v>
      </c>
      <c r="C44" s="96"/>
      <c r="D44" s="96"/>
      <c r="E44" s="96"/>
      <c r="F44" s="97"/>
      <c r="G44" s="98"/>
      <c r="H44" s="98">
        <f>H43/H$13</f>
        <v>0.50932374203697783</v>
      </c>
      <c r="I44" s="98">
        <f>I43/I$13</f>
        <v>0.39147558727305393</v>
      </c>
      <c r="J44" s="98">
        <f>J43/J$13</f>
        <v>0.34843371424719005</v>
      </c>
      <c r="K44" s="98">
        <f>K43/K$13</f>
        <v>0.3303232068996555</v>
      </c>
      <c r="L44" s="98">
        <f>L43/L$13</f>
        <v>0.33850435645650179</v>
      </c>
      <c r="M44" s="85"/>
      <c r="N44" s="15"/>
      <c r="O44" s="16"/>
    </row>
    <row r="45" spans="1:15" ht="16.5" customHeight="1">
      <c r="A45" s="108"/>
      <c r="B45" s="86"/>
      <c r="C45" s="87"/>
      <c r="D45" s="87"/>
      <c r="E45" s="87"/>
      <c r="F45" s="88"/>
      <c r="G45" s="127"/>
      <c r="H45" s="127"/>
      <c r="I45" s="127"/>
      <c r="J45" s="127"/>
      <c r="K45" s="127"/>
      <c r="L45" s="127"/>
      <c r="M45" s="14"/>
      <c r="N45" s="15"/>
      <c r="O45" s="16"/>
    </row>
    <row r="46" spans="1:15" ht="15.75" customHeight="1">
      <c r="A46" s="94"/>
      <c r="B46" s="90" t="s">
        <v>33</v>
      </c>
      <c r="C46" s="91"/>
      <c r="D46" s="91"/>
      <c r="E46" s="614"/>
      <c r="F46" s="618"/>
      <c r="G46" s="126">
        <f t="shared" ref="G46:L46" si="4">G13-G32-G43</f>
        <v>-216500</v>
      </c>
      <c r="H46" s="93">
        <f t="shared" si="4"/>
        <v>-843077.29975885712</v>
      </c>
      <c r="I46" s="93">
        <f t="shared" si="4"/>
        <v>-425852.7383268571</v>
      </c>
      <c r="J46" s="93">
        <f t="shared" si="4"/>
        <v>230705.79611314321</v>
      </c>
      <c r="K46" s="93">
        <f t="shared" si="4"/>
        <v>1378400.5312491418</v>
      </c>
      <c r="L46" s="93">
        <f t="shared" si="4"/>
        <v>2060832.6084209015</v>
      </c>
      <c r="M46" s="14"/>
      <c r="N46" s="15"/>
      <c r="O46" s="16"/>
    </row>
    <row r="47" spans="1:15" ht="15.75" customHeight="1">
      <c r="A47" s="94"/>
      <c r="B47" s="95" t="s">
        <v>32</v>
      </c>
      <c r="C47" s="96"/>
      <c r="D47" s="96"/>
      <c r="E47" s="96"/>
      <c r="F47" s="97"/>
      <c r="G47" s="98"/>
      <c r="H47" s="98">
        <f>H46/H$13</f>
        <v>-0.80833241056543192</v>
      </c>
      <c r="I47" s="98">
        <f>I46/I$13</f>
        <v>-0.19775644303709569</v>
      </c>
      <c r="J47" s="98">
        <f>J46/J$13</f>
        <v>6.0301180042601904E-2</v>
      </c>
      <c r="K47" s="98">
        <f>K46/K$13</f>
        <v>0.21358143224203643</v>
      </c>
      <c r="L47" s="98">
        <f>L46/L$13</f>
        <v>0.19188359294975085</v>
      </c>
      <c r="M47" s="14"/>
      <c r="N47" s="15"/>
      <c r="O47" s="16"/>
    </row>
    <row r="48" spans="1:15" ht="16.5" customHeight="1">
      <c r="A48" s="108"/>
      <c r="B48" s="81"/>
      <c r="C48" s="82"/>
      <c r="D48" s="82"/>
      <c r="E48" s="82"/>
      <c r="F48" s="122"/>
      <c r="G48" s="128"/>
      <c r="H48" s="128"/>
      <c r="I48" s="128"/>
      <c r="J48" s="128"/>
      <c r="K48" s="128"/>
      <c r="L48" s="128"/>
      <c r="M48" s="14"/>
      <c r="N48" s="15"/>
      <c r="O48" s="16"/>
    </row>
    <row r="49" spans="1:15" ht="16.5" customHeight="1">
      <c r="A49" s="108"/>
      <c r="B49" s="124" t="s">
        <v>34</v>
      </c>
      <c r="C49" s="82"/>
      <c r="D49" s="82"/>
      <c r="E49" s="82"/>
      <c r="F49" s="122"/>
      <c r="G49" s="128"/>
      <c r="H49" s="128"/>
      <c r="I49" s="128"/>
      <c r="J49" s="128"/>
      <c r="K49" s="128"/>
      <c r="L49" s="128"/>
      <c r="M49" s="14"/>
      <c r="N49" s="15"/>
      <c r="O49" s="16"/>
    </row>
    <row r="50" spans="1:15" ht="17" customHeight="1">
      <c r="A50" s="108"/>
      <c r="B50" s="129"/>
      <c r="C50" s="130"/>
      <c r="D50" s="130"/>
      <c r="E50" s="130"/>
      <c r="F50" s="131" t="s">
        <v>34</v>
      </c>
      <c r="G50" s="231">
        <v>1000</v>
      </c>
      <c r="H50" s="132">
        <f>Costs!H236+Costs!H237</f>
        <v>4000</v>
      </c>
      <c r="I50" s="132">
        <f>Costs!I236+Costs!I237</f>
        <v>4000</v>
      </c>
      <c r="J50" s="132">
        <f>Costs!J236+Costs!J237</f>
        <v>4000</v>
      </c>
      <c r="K50" s="132">
        <f>Costs!K236+Costs!K237</f>
        <v>4000</v>
      </c>
      <c r="L50" s="132">
        <f>Costs!L236+Costs!L237</f>
        <v>4000</v>
      </c>
      <c r="M50" s="14"/>
      <c r="N50" s="15"/>
      <c r="O50" s="16"/>
    </row>
    <row r="51" spans="1:15" ht="16" customHeight="1">
      <c r="A51" s="133"/>
      <c r="B51" s="134" t="str">
        <f>"Total "&amp;B49</f>
        <v>Total D&amp;A</v>
      </c>
      <c r="C51" s="135"/>
      <c r="D51" s="135"/>
      <c r="E51" s="135"/>
      <c r="F51" s="136"/>
      <c r="G51" s="137">
        <f t="shared" ref="G51:L51" si="5">-G50</f>
        <v>-1000</v>
      </c>
      <c r="H51" s="137">
        <f t="shared" si="5"/>
        <v>-4000</v>
      </c>
      <c r="I51" s="137">
        <f t="shared" si="5"/>
        <v>-4000</v>
      </c>
      <c r="J51" s="137">
        <f t="shared" si="5"/>
        <v>-4000</v>
      </c>
      <c r="K51" s="137">
        <f t="shared" si="5"/>
        <v>-4000</v>
      </c>
      <c r="L51" s="137">
        <f t="shared" si="5"/>
        <v>-4000</v>
      </c>
      <c r="M51" s="113"/>
      <c r="N51" s="15"/>
      <c r="O51" s="16"/>
    </row>
    <row r="52" spans="1:15" ht="16.5" customHeight="1">
      <c r="A52" s="108"/>
      <c r="B52" s="86"/>
      <c r="C52" s="87"/>
      <c r="D52" s="87"/>
      <c r="E52" s="87"/>
      <c r="F52" s="88"/>
      <c r="G52" s="89"/>
      <c r="H52" s="89"/>
      <c r="I52" s="89"/>
      <c r="J52" s="89"/>
      <c r="K52" s="89"/>
      <c r="L52" s="89"/>
      <c r="M52" s="14"/>
      <c r="N52" s="15"/>
      <c r="O52" s="16"/>
    </row>
    <row r="53" spans="1:15" ht="15.75" customHeight="1">
      <c r="A53" s="94"/>
      <c r="B53" s="90" t="s">
        <v>35</v>
      </c>
      <c r="C53" s="91"/>
      <c r="D53" s="91"/>
      <c r="E53" s="614"/>
      <c r="F53" s="618"/>
      <c r="G53" s="126">
        <f>G46-G51</f>
        <v>-215500</v>
      </c>
      <c r="H53" s="93">
        <f>H46+H51</f>
        <v>-847077.29975885712</v>
      </c>
      <c r="I53" s="93">
        <f>I46+I51</f>
        <v>-429852.7383268571</v>
      </c>
      <c r="J53" s="93">
        <f>J46+J51</f>
        <v>226705.79611314321</v>
      </c>
      <c r="K53" s="93">
        <f>K46+K51</f>
        <v>1374400.5312491418</v>
      </c>
      <c r="L53" s="93">
        <f>L46+L51</f>
        <v>2056832.6084209015</v>
      </c>
      <c r="M53" s="14"/>
      <c r="N53" s="15"/>
      <c r="O53" s="16"/>
    </row>
    <row r="54" spans="1:15" ht="15.75" customHeight="1">
      <c r="A54" s="94"/>
      <c r="B54" s="95" t="s">
        <v>32</v>
      </c>
      <c r="C54" s="96"/>
      <c r="D54" s="96"/>
      <c r="E54" s="96"/>
      <c r="F54" s="97"/>
      <c r="G54" s="98"/>
      <c r="H54" s="98">
        <f>H53/H$13</f>
        <v>-0.81216756262466372</v>
      </c>
      <c r="I54" s="98">
        <f>I53/I$13</f>
        <v>-0.19961395315962363</v>
      </c>
      <c r="J54" s="98">
        <f>J53/J$13</f>
        <v>5.9255672195663738E-2</v>
      </c>
      <c r="K54" s="98">
        <f>K53/K$13</f>
        <v>0.21296163726256562</v>
      </c>
      <c r="L54" s="98">
        <f>L53/L$13</f>
        <v>0.19151115398082988</v>
      </c>
      <c r="M54" s="14"/>
      <c r="N54" s="15"/>
      <c r="O54" s="16"/>
    </row>
    <row r="55" spans="1:15" ht="16.5" customHeight="1">
      <c r="A55" s="108"/>
      <c r="B55" s="81"/>
      <c r="C55" s="82"/>
      <c r="D55" s="82"/>
      <c r="E55" s="82"/>
      <c r="F55" s="122"/>
      <c r="G55" s="123"/>
      <c r="H55" s="123"/>
      <c r="I55" s="123"/>
      <c r="J55" s="123"/>
      <c r="K55" s="123"/>
      <c r="L55" s="123"/>
      <c r="M55" s="14"/>
      <c r="N55" s="15"/>
      <c r="O55" s="16"/>
    </row>
    <row r="56" spans="1:15" ht="16.5" customHeight="1">
      <c r="A56" s="108"/>
      <c r="B56" s="124" t="s">
        <v>36</v>
      </c>
      <c r="C56" s="82"/>
      <c r="D56" s="82"/>
      <c r="E56" s="82"/>
      <c r="F56" s="122"/>
      <c r="G56" s="123"/>
      <c r="H56" s="123"/>
      <c r="I56" s="123"/>
      <c r="J56" s="123"/>
      <c r="K56" s="123"/>
      <c r="L56" s="123"/>
      <c r="M56" s="14"/>
      <c r="N56" s="15"/>
      <c r="O56" s="16"/>
    </row>
    <row r="57" spans="1:15" ht="17" customHeight="1">
      <c r="A57" s="108"/>
      <c r="B57" s="129"/>
      <c r="C57" s="130"/>
      <c r="D57" s="130"/>
      <c r="E57" s="130"/>
      <c r="F57" s="131" t="s">
        <v>36</v>
      </c>
      <c r="G57" s="231">
        <v>1000</v>
      </c>
      <c r="H57" s="132">
        <f>Costs!H241</f>
        <v>0</v>
      </c>
      <c r="I57" s="132">
        <f>Costs!I241</f>
        <v>0</v>
      </c>
      <c r="J57" s="132">
        <f>Costs!J241</f>
        <v>0</v>
      </c>
      <c r="K57" s="132">
        <f>Costs!K241</f>
        <v>0</v>
      </c>
      <c r="L57" s="132">
        <f>Costs!L241</f>
        <v>0</v>
      </c>
      <c r="M57" s="85"/>
      <c r="N57" s="15"/>
      <c r="O57" s="16"/>
    </row>
    <row r="58" spans="1:15" ht="16" customHeight="1">
      <c r="A58" s="133"/>
      <c r="B58" s="134" t="str">
        <f>"Total "&amp;B56</f>
        <v>Total Interest</v>
      </c>
      <c r="C58" s="135"/>
      <c r="D58" s="135"/>
      <c r="E58" s="135"/>
      <c r="F58" s="136"/>
      <c r="G58" s="137"/>
      <c r="H58" s="137">
        <f>H57</f>
        <v>0</v>
      </c>
      <c r="I58" s="137">
        <f>I57</f>
        <v>0</v>
      </c>
      <c r="J58" s="137">
        <f>J57</f>
        <v>0</v>
      </c>
      <c r="K58" s="137">
        <f>K57</f>
        <v>0</v>
      </c>
      <c r="L58" s="137">
        <f>L57</f>
        <v>0</v>
      </c>
      <c r="M58" s="113"/>
      <c r="N58" s="15"/>
      <c r="O58" s="16"/>
    </row>
    <row r="59" spans="1:15" ht="16.5" customHeight="1">
      <c r="A59" s="108"/>
      <c r="B59" s="86"/>
      <c r="C59" s="87"/>
      <c r="D59" s="87"/>
      <c r="E59" s="87"/>
      <c r="F59" s="88"/>
      <c r="G59" s="89"/>
      <c r="H59" s="89"/>
      <c r="I59" s="89"/>
      <c r="J59" s="89"/>
      <c r="K59" s="89"/>
      <c r="L59" s="89"/>
      <c r="M59" s="14"/>
      <c r="N59" s="15"/>
      <c r="O59" s="16"/>
    </row>
    <row r="60" spans="1:15" ht="15.75" customHeight="1">
      <c r="A60" s="94"/>
      <c r="B60" s="90" t="s">
        <v>37</v>
      </c>
      <c r="C60" s="91"/>
      <c r="D60" s="91"/>
      <c r="E60" s="614"/>
      <c r="F60" s="615"/>
      <c r="G60" s="92">
        <f>G53-G57</f>
        <v>-216500</v>
      </c>
      <c r="H60" s="93">
        <f>H53-H58</f>
        <v>-847077.29975885712</v>
      </c>
      <c r="I60" s="93">
        <f>I53-I58</f>
        <v>-429852.7383268571</v>
      </c>
      <c r="J60" s="93">
        <f>J53-J58</f>
        <v>226705.79611314321</v>
      </c>
      <c r="K60" s="93">
        <f>K53-K58</f>
        <v>1374400.5312491418</v>
      </c>
      <c r="L60" s="519">
        <f>L53-L58</f>
        <v>2056832.6084209015</v>
      </c>
      <c r="M60" s="15"/>
      <c r="N60" s="15"/>
      <c r="O60" s="16"/>
    </row>
    <row r="61" spans="1:15" ht="15.75" customHeight="1">
      <c r="A61" s="94"/>
      <c r="B61" s="138" t="s">
        <v>32</v>
      </c>
      <c r="C61" s="139"/>
      <c r="D61" s="139"/>
      <c r="E61" s="139"/>
      <c r="F61" s="140"/>
      <c r="G61" s="141"/>
      <c r="H61" s="141">
        <f>H60/H$13</f>
        <v>-0.81216756262466372</v>
      </c>
      <c r="I61" s="141">
        <f>I60/I$13</f>
        <v>-0.19961395315962363</v>
      </c>
      <c r="J61" s="141">
        <f>J60/J$13</f>
        <v>5.9255672195663738E-2</v>
      </c>
      <c r="K61" s="141">
        <f>K60/K$13</f>
        <v>0.21296163726256562</v>
      </c>
      <c r="L61" s="520">
        <f>L60/L$13</f>
        <v>0.19151115398082988</v>
      </c>
      <c r="M61" s="15"/>
      <c r="N61" s="15"/>
      <c r="O61" s="16"/>
    </row>
    <row r="62" spans="1:15" ht="15.75" customHeight="1">
      <c r="A62" s="94"/>
      <c r="B62" s="142"/>
      <c r="C62" s="143"/>
      <c r="D62" s="143"/>
      <c r="E62" s="143"/>
      <c r="F62" s="144"/>
      <c r="G62" s="145"/>
      <c r="H62" s="145"/>
      <c r="I62" s="145"/>
      <c r="J62" s="145"/>
      <c r="K62" s="145"/>
      <c r="L62" s="145"/>
      <c r="M62" s="14"/>
      <c r="N62" s="15"/>
      <c r="O62" s="16"/>
    </row>
    <row r="63" spans="1:15" ht="16.5" customHeight="1">
      <c r="A63" s="108"/>
      <c r="B63" s="124" t="s">
        <v>38</v>
      </c>
      <c r="C63" s="82"/>
      <c r="D63" s="82"/>
      <c r="E63" s="82"/>
      <c r="F63" s="122"/>
      <c r="G63" s="123"/>
      <c r="H63" s="123"/>
      <c r="I63" s="123"/>
      <c r="J63" s="123"/>
      <c r="K63" s="123"/>
      <c r="L63" s="123"/>
      <c r="M63" s="14"/>
      <c r="N63" s="15"/>
      <c r="O63" s="16"/>
    </row>
    <row r="64" spans="1:15" ht="17" customHeight="1">
      <c r="A64" s="108"/>
      <c r="B64" s="129"/>
      <c r="C64" s="130"/>
      <c r="D64" s="130"/>
      <c r="E64" s="130"/>
      <c r="F64" s="131" t="s">
        <v>38</v>
      </c>
      <c r="G64" s="231">
        <v>1000</v>
      </c>
      <c r="H64" s="132">
        <f>Costs!H247</f>
        <v>-169415.45995177148</v>
      </c>
      <c r="I64" s="132">
        <f>Costs!I247</f>
        <v>-85970.547665371472</v>
      </c>
      <c r="J64" s="132">
        <f>Costs!J247</f>
        <v>45341.15922262855</v>
      </c>
      <c r="K64" s="132">
        <f>Costs!K247</f>
        <v>274880.1062498283</v>
      </c>
      <c r="L64" s="132">
        <f>Costs!L247</f>
        <v>411366.52168418025</v>
      </c>
      <c r="M64" s="14"/>
      <c r="N64" s="15"/>
      <c r="O64" s="16"/>
    </row>
    <row r="65" spans="1:15" ht="16" customHeight="1">
      <c r="A65" s="133"/>
      <c r="B65" s="134" t="str">
        <f>"Total "&amp;B63</f>
        <v>Total Taxes</v>
      </c>
      <c r="C65" s="135"/>
      <c r="D65" s="135"/>
      <c r="E65" s="135"/>
      <c r="F65" s="136"/>
      <c r="G65" s="146">
        <f t="shared" ref="G65:L65" si="6">G64</f>
        <v>1000</v>
      </c>
      <c r="H65" s="137">
        <f t="shared" si="6"/>
        <v>-169415.45995177148</v>
      </c>
      <c r="I65" s="137">
        <f t="shared" si="6"/>
        <v>-85970.547665371472</v>
      </c>
      <c r="J65" s="137">
        <f t="shared" si="6"/>
        <v>45341.15922262855</v>
      </c>
      <c r="K65" s="137">
        <f t="shared" si="6"/>
        <v>274880.1062498283</v>
      </c>
      <c r="L65" s="137">
        <f t="shared" si="6"/>
        <v>411366.52168418025</v>
      </c>
      <c r="M65" s="113"/>
      <c r="N65" s="15"/>
      <c r="O65" s="16"/>
    </row>
    <row r="66" spans="1:15" ht="16.5" customHeight="1">
      <c r="A66" s="108"/>
      <c r="B66" s="86"/>
      <c r="C66" s="87"/>
      <c r="D66" s="87"/>
      <c r="E66" s="87"/>
      <c r="F66" s="88"/>
      <c r="G66" s="89"/>
      <c r="H66" s="89"/>
      <c r="I66" s="89"/>
      <c r="J66" s="89"/>
      <c r="K66" s="89"/>
      <c r="L66" s="89"/>
      <c r="M66" s="14"/>
      <c r="N66" s="15"/>
      <c r="O66" s="16"/>
    </row>
    <row r="67" spans="1:15" ht="15.75" customHeight="1">
      <c r="A67" s="94"/>
      <c r="B67" s="90" t="s">
        <v>39</v>
      </c>
      <c r="C67" s="91"/>
      <c r="D67" s="91"/>
      <c r="E67" s="614"/>
      <c r="F67" s="615"/>
      <c r="G67" s="92">
        <f t="shared" ref="G67:L67" si="7">G60-G65</f>
        <v>-217500</v>
      </c>
      <c r="H67" s="93">
        <f t="shared" si="7"/>
        <v>-677661.83980708569</v>
      </c>
      <c r="I67" s="93">
        <f t="shared" si="7"/>
        <v>-343882.19066148566</v>
      </c>
      <c r="J67" s="93">
        <f t="shared" si="7"/>
        <v>181364.63689051467</v>
      </c>
      <c r="K67" s="93">
        <f t="shared" si="7"/>
        <v>1099520.4249993134</v>
      </c>
      <c r="L67" s="93">
        <f t="shared" si="7"/>
        <v>1645466.0867367212</v>
      </c>
      <c r="M67" s="14"/>
      <c r="N67" s="15"/>
      <c r="O67" s="16"/>
    </row>
    <row r="68" spans="1:15" ht="15.75" customHeight="1">
      <c r="A68" s="94"/>
      <c r="B68" s="138" t="s">
        <v>32</v>
      </c>
      <c r="C68" s="139"/>
      <c r="D68" s="139"/>
      <c r="E68" s="139"/>
      <c r="F68" s="140"/>
      <c r="G68" s="141"/>
      <c r="H68" s="141">
        <f>H67/H$13</f>
        <v>-0.64973405009973095</v>
      </c>
      <c r="I68" s="141">
        <f>I67/I$13</f>
        <v>-0.15969116252769888</v>
      </c>
      <c r="J68" s="141">
        <f>J67/J$13</f>
        <v>4.7404537756531015E-2</v>
      </c>
      <c r="K68" s="141">
        <f>K67/K$13</f>
        <v>0.17036930981005249</v>
      </c>
      <c r="L68" s="141">
        <f>L67/L$13</f>
        <v>0.15320892318466389</v>
      </c>
      <c r="M68" s="14"/>
      <c r="N68" s="15"/>
      <c r="O68" s="16"/>
    </row>
    <row r="69" spans="1:15" ht="15.75" customHeight="1">
      <c r="A69" s="147"/>
      <c r="B69" s="143"/>
      <c r="C69" s="143"/>
      <c r="D69" s="143"/>
      <c r="E69" s="143"/>
      <c r="F69" s="143"/>
      <c r="G69" s="148"/>
      <c r="H69" s="148"/>
      <c r="I69" s="148"/>
      <c r="J69" s="148"/>
      <c r="K69" s="148"/>
      <c r="L69" s="148"/>
      <c r="M69" s="15"/>
      <c r="N69" s="15"/>
      <c r="O69" s="16"/>
    </row>
    <row r="70" spans="1:15" ht="16" customHeight="1">
      <c r="A70" s="48"/>
      <c r="B70" s="15"/>
      <c r="C70" s="15"/>
      <c r="D70" s="15"/>
      <c r="E70" s="15"/>
      <c r="F70" s="149"/>
      <c r="G70" s="14"/>
      <c r="H70" s="15"/>
      <c r="I70" s="15"/>
      <c r="J70" s="15"/>
      <c r="K70" s="15"/>
      <c r="L70" s="15"/>
      <c r="M70" s="15"/>
      <c r="N70" s="15"/>
      <c r="O70" s="16"/>
    </row>
    <row r="71" spans="1:15" ht="16" customHeight="1">
      <c r="A71" s="48"/>
      <c r="B71" s="15"/>
      <c r="C71" s="15"/>
      <c r="D71" s="15"/>
      <c r="E71" s="15"/>
      <c r="F71" s="149"/>
      <c r="G71" s="14"/>
      <c r="H71" s="15"/>
      <c r="I71" s="15"/>
      <c r="J71" s="15"/>
      <c r="K71" s="15"/>
      <c r="L71" s="15"/>
      <c r="M71" s="15"/>
      <c r="N71" s="15"/>
      <c r="O71" s="16"/>
    </row>
    <row r="72" spans="1:15" ht="16" customHeight="1">
      <c r="A72" s="48"/>
      <c r="B72" s="65"/>
      <c r="C72" s="65"/>
      <c r="D72" s="65"/>
      <c r="E72" s="65"/>
      <c r="F72" s="150"/>
      <c r="G72" s="64"/>
      <c r="H72" s="65"/>
      <c r="I72" s="65"/>
      <c r="J72" s="65"/>
      <c r="K72" s="65"/>
      <c r="L72" s="65"/>
      <c r="M72" s="15"/>
      <c r="N72" s="15"/>
      <c r="O72" s="16"/>
    </row>
    <row r="73" spans="1:15" ht="20" customHeight="1">
      <c r="A73" s="8"/>
      <c r="B73" s="151" t="s">
        <v>40</v>
      </c>
      <c r="C73" s="77"/>
      <c r="D73" s="78"/>
      <c r="E73" s="78"/>
      <c r="F73" s="78"/>
      <c r="G73" s="506" t="str">
        <f t="shared" si="0"/>
        <v>Past Year</v>
      </c>
      <c r="H73" s="506" t="s">
        <v>22</v>
      </c>
      <c r="I73" s="152" t="s">
        <v>23</v>
      </c>
      <c r="J73" s="68" t="s">
        <v>24</v>
      </c>
      <c r="K73" s="68" t="s">
        <v>25</v>
      </c>
      <c r="L73" s="68" t="s">
        <v>26</v>
      </c>
      <c r="M73" s="14"/>
      <c r="N73" s="15"/>
      <c r="O73" s="16"/>
    </row>
    <row r="74" spans="1:15" ht="19" customHeight="1">
      <c r="A74" s="153"/>
      <c r="B74" s="154" t="s">
        <v>41</v>
      </c>
      <c r="C74" s="155"/>
      <c r="D74" s="155"/>
      <c r="E74" s="155"/>
      <c r="F74" s="156"/>
      <c r="G74" s="157"/>
      <c r="H74" s="507"/>
      <c r="I74" s="158"/>
      <c r="J74" s="157"/>
      <c r="K74" s="157"/>
      <c r="L74" s="157"/>
      <c r="M74" s="14"/>
      <c r="N74" s="15"/>
      <c r="O74" s="16"/>
    </row>
    <row r="75" spans="1:15" ht="16" customHeight="1">
      <c r="A75" s="153"/>
      <c r="B75" s="14"/>
      <c r="C75" s="15"/>
      <c r="D75" s="15"/>
      <c r="E75" s="15"/>
      <c r="F75" s="83" t="s">
        <v>42</v>
      </c>
      <c r="G75" s="106"/>
      <c r="H75" s="508">
        <f>H67</f>
        <v>-677661.83980708569</v>
      </c>
      <c r="I75" s="160">
        <f>I67</f>
        <v>-343882.19066148566</v>
      </c>
      <c r="J75" s="84">
        <f>J67</f>
        <v>181364.63689051467</v>
      </c>
      <c r="K75" s="84">
        <f>K67</f>
        <v>1099520.4249993134</v>
      </c>
      <c r="L75" s="84">
        <f>L67</f>
        <v>1645466.0867367212</v>
      </c>
      <c r="M75" s="14"/>
      <c r="N75" s="15"/>
      <c r="O75" s="16"/>
    </row>
    <row r="76" spans="1:15" ht="16" customHeight="1">
      <c r="A76" s="153"/>
      <c r="B76" s="14"/>
      <c r="C76" s="15"/>
      <c r="D76" s="15"/>
      <c r="E76" s="15"/>
      <c r="F76" s="83" t="s">
        <v>43</v>
      </c>
      <c r="G76" s="106"/>
      <c r="H76" s="508">
        <f>-H51</f>
        <v>4000</v>
      </c>
      <c r="I76" s="161">
        <f>-I51</f>
        <v>4000</v>
      </c>
      <c r="J76" s="522">
        <f>-J51</f>
        <v>4000</v>
      </c>
      <c r="K76" s="522">
        <f>-K51</f>
        <v>4000</v>
      </c>
      <c r="L76" s="522">
        <f>-L51</f>
        <v>4000</v>
      </c>
      <c r="M76" s="521"/>
      <c r="N76" s="15"/>
      <c r="O76" s="16"/>
    </row>
    <row r="77" spans="1:15" ht="16" customHeight="1">
      <c r="A77" s="153"/>
      <c r="B77" s="14"/>
      <c r="C77" s="15"/>
      <c r="D77" s="15"/>
      <c r="E77" s="15"/>
      <c r="F77" s="83" t="s">
        <v>44</v>
      </c>
      <c r="G77" s="106"/>
      <c r="H77" s="508">
        <f>-('BS CF'!H11-'BS CF'!D8)</f>
        <v>-1979.9526204081626</v>
      </c>
      <c r="I77" s="160">
        <f>-('BS CF'!I11-'BS CF'!H11)</f>
        <v>-3172.6767999999997</v>
      </c>
      <c r="J77" s="160">
        <f>-('BS CF'!J11-'BS CF'!I11)</f>
        <v>-4778.4902857142861</v>
      </c>
      <c r="K77" s="160">
        <f>-('BS CF'!K11-'BS CF'!J11)</f>
        <v>-7508.1574857142805</v>
      </c>
      <c r="L77" s="160">
        <f>-('BS CF'!L11-'BS CF'!K11)</f>
        <v>-12246.479085714283</v>
      </c>
      <c r="M77" s="14"/>
      <c r="N77" s="15"/>
      <c r="O77" s="16"/>
    </row>
    <row r="78" spans="1:15" ht="16" customHeight="1">
      <c r="A78" s="153"/>
      <c r="B78" s="14"/>
      <c r="C78" s="15"/>
      <c r="D78" s="15"/>
      <c r="E78" s="15"/>
      <c r="F78" s="83" t="s">
        <v>237</v>
      </c>
      <c r="G78" s="106"/>
      <c r="H78" s="508">
        <f>-'BS CF'!H17</f>
        <v>-104298.34171428572</v>
      </c>
      <c r="I78" s="508">
        <f>-'BS CF'!I17</f>
        <v>-215342.02971428575</v>
      </c>
      <c r="J78" s="508">
        <f>-'BS CF'!J17</f>
        <v>-382589.18971428578</v>
      </c>
      <c r="K78" s="508">
        <f>-'BS CF'!K17</f>
        <v>-645374.70171428565</v>
      </c>
      <c r="L78" s="508">
        <f>-'BS CF'!L17</f>
        <v>-1074001.4697142856</v>
      </c>
      <c r="M78" s="14"/>
      <c r="N78" s="15"/>
      <c r="O78" s="16"/>
    </row>
    <row r="79" spans="1:15" ht="16" customHeight="1">
      <c r="A79" s="153"/>
      <c r="B79" s="162"/>
      <c r="C79" s="163"/>
      <c r="D79" s="163"/>
      <c r="E79" s="163"/>
      <c r="F79" s="131" t="s">
        <v>45</v>
      </c>
      <c r="G79" s="164"/>
      <c r="H79" s="509">
        <f>'BS CF'!H36-'BS CF'!D33</f>
        <v>78536.036150285712</v>
      </c>
      <c r="I79" s="165">
        <f>'BS CF'!I36-'BS CF'!H36</f>
        <v>51965.876427999989</v>
      </c>
      <c r="J79" s="165">
        <f>'BS CF'!J36-'BS CF'!I36</f>
        <v>81676.374760000035</v>
      </c>
      <c r="K79" s="165">
        <f>'BS CF'!K36-'BS CF'!J36</f>
        <v>133125.44786533326</v>
      </c>
      <c r="L79" s="165">
        <f>'BS CF'!L36-'BS CF'!K36</f>
        <v>250619.89202799997</v>
      </c>
      <c r="M79" s="14"/>
      <c r="N79" s="15"/>
      <c r="O79" s="16"/>
    </row>
    <row r="80" spans="1:15" ht="16" customHeight="1">
      <c r="A80" s="133"/>
      <c r="B80" s="134" t="s">
        <v>46</v>
      </c>
      <c r="C80" s="135"/>
      <c r="D80" s="135"/>
      <c r="E80" s="135"/>
      <c r="F80" s="136"/>
      <c r="G80" s="166"/>
      <c r="H80" s="510">
        <f>SUM(H75:H79)</f>
        <v>-701404.09799149376</v>
      </c>
      <c r="I80" s="167">
        <f>SUM(I75:I79)</f>
        <v>-506431.02074777143</v>
      </c>
      <c r="J80" s="166">
        <f>SUM(J75:J79)</f>
        <v>-120326.66834948535</v>
      </c>
      <c r="K80" s="166">
        <f>SUM(K75:K79)</f>
        <v>583763.01366464689</v>
      </c>
      <c r="L80" s="166">
        <f>SUM(L75:L79)</f>
        <v>813838.0299647213</v>
      </c>
      <c r="M80" s="113"/>
      <c r="N80" s="15"/>
      <c r="O80" s="16"/>
    </row>
    <row r="81" spans="1:15" ht="16" customHeight="1">
      <c r="A81" s="153"/>
      <c r="B81" s="14"/>
      <c r="C81" s="15"/>
      <c r="D81" s="15"/>
      <c r="E81" s="15"/>
      <c r="F81" s="149"/>
      <c r="G81" s="106"/>
      <c r="H81" s="511"/>
      <c r="I81" s="63"/>
      <c r="J81" s="106"/>
      <c r="K81" s="106"/>
      <c r="L81" s="106"/>
      <c r="M81" s="14"/>
      <c r="N81" s="15"/>
      <c r="O81" s="16"/>
    </row>
    <row r="82" spans="1:15" ht="19" customHeight="1">
      <c r="A82" s="153"/>
      <c r="B82" s="124" t="s">
        <v>47</v>
      </c>
      <c r="C82" s="15"/>
      <c r="D82" s="15"/>
      <c r="E82" s="15"/>
      <c r="F82" s="149"/>
      <c r="G82" s="106"/>
      <c r="H82" s="511"/>
      <c r="I82" s="63"/>
      <c r="J82" s="106"/>
      <c r="K82" s="106"/>
      <c r="L82" s="106"/>
      <c r="M82" s="14"/>
      <c r="N82" s="15"/>
      <c r="O82" s="16"/>
    </row>
    <row r="83" spans="1:15" ht="17" customHeight="1">
      <c r="A83" s="108"/>
      <c r="B83" s="129"/>
      <c r="C83" s="130"/>
      <c r="D83" s="130"/>
      <c r="E83" s="130"/>
      <c r="F83" s="131" t="s">
        <v>47</v>
      </c>
      <c r="G83" s="168"/>
      <c r="H83" s="512">
        <f>'BS CF'!H57</f>
        <v>0</v>
      </c>
      <c r="I83" s="505">
        <f>'BS CF'!I57</f>
        <v>0</v>
      </c>
      <c r="J83" s="169">
        <f>'BS CF'!J57</f>
        <v>0</v>
      </c>
      <c r="K83" s="169">
        <f>'BS CF'!K57</f>
        <v>0</v>
      </c>
      <c r="L83" s="169">
        <f>'BS CF'!L57</f>
        <v>0</v>
      </c>
      <c r="M83" s="14"/>
      <c r="N83" s="15"/>
      <c r="O83" s="16"/>
    </row>
    <row r="84" spans="1:15" ht="15" customHeight="1">
      <c r="A84" s="133"/>
      <c r="B84" s="134" t="str">
        <f>"Total "&amp;B82</f>
        <v>Total Capital Expenditures</v>
      </c>
      <c r="C84" s="135"/>
      <c r="D84" s="135"/>
      <c r="E84" s="135"/>
      <c r="F84" s="136"/>
      <c r="G84" s="166"/>
      <c r="H84" s="513">
        <f>H83</f>
        <v>0</v>
      </c>
      <c r="I84" s="170">
        <f>I83</f>
        <v>0</v>
      </c>
      <c r="J84" s="137">
        <f>J83</f>
        <v>0</v>
      </c>
      <c r="K84" s="137">
        <f>K83</f>
        <v>0</v>
      </c>
      <c r="L84" s="137">
        <f>L83</f>
        <v>0</v>
      </c>
      <c r="M84" s="113"/>
      <c r="N84" s="15"/>
      <c r="O84" s="16"/>
    </row>
    <row r="85" spans="1:15" ht="16" customHeight="1">
      <c r="A85" s="153"/>
      <c r="B85" s="14"/>
      <c r="C85" s="15"/>
      <c r="D85" s="15"/>
      <c r="E85" s="15"/>
      <c r="F85" s="149"/>
      <c r="G85" s="106"/>
      <c r="H85" s="508"/>
      <c r="I85" s="160"/>
      <c r="J85" s="84"/>
      <c r="K85" s="84"/>
      <c r="L85" s="84"/>
      <c r="M85" s="14"/>
      <c r="N85" s="15"/>
      <c r="O85" s="16"/>
    </row>
    <row r="86" spans="1:15" ht="19" customHeight="1">
      <c r="A86" s="153"/>
      <c r="B86" s="124" t="s">
        <v>48</v>
      </c>
      <c r="C86" s="15"/>
      <c r="D86" s="15"/>
      <c r="E86" s="15"/>
      <c r="F86" s="149"/>
      <c r="G86" s="106"/>
      <c r="H86" s="508"/>
      <c r="I86" s="160"/>
      <c r="J86" s="84"/>
      <c r="K86" s="84"/>
      <c r="L86" s="84"/>
      <c r="M86" s="14"/>
      <c r="N86" s="15"/>
      <c r="O86" s="16"/>
    </row>
    <row r="87" spans="1:15" ht="16" customHeight="1">
      <c r="A87" s="153"/>
      <c r="B87" s="14"/>
      <c r="C87" s="15"/>
      <c r="D87" s="15"/>
      <c r="E87" s="15"/>
      <c r="F87" s="83" t="s">
        <v>49</v>
      </c>
      <c r="G87" s="106"/>
      <c r="H87" s="508">
        <f>'BS CF'!H43-'BS CF'!G43</f>
        <v>0</v>
      </c>
      <c r="I87" s="161">
        <f>'BS CF'!I43-'BS CF'!H43</f>
        <v>0</v>
      </c>
      <c r="J87" s="159">
        <f>'BS CF'!J43-'BS CF'!I43</f>
        <v>0</v>
      </c>
      <c r="K87" s="159">
        <f>'BS CF'!K43-'BS CF'!J43</f>
        <v>0</v>
      </c>
      <c r="L87" s="508">
        <f>'BS CF'!L43-'BS CF'!K43</f>
        <v>0</v>
      </c>
      <c r="M87" s="15"/>
      <c r="N87" s="15"/>
      <c r="O87" s="16"/>
    </row>
    <row r="88" spans="1:15" ht="16" customHeight="1">
      <c r="A88" s="153"/>
      <c r="B88" s="14"/>
      <c r="C88" s="15"/>
      <c r="D88" s="15"/>
      <c r="E88" s="15"/>
      <c r="F88" s="83" t="s">
        <v>50</v>
      </c>
      <c r="G88" s="106"/>
      <c r="H88" s="508">
        <f>'BS CF'!H49</f>
        <v>0</v>
      </c>
      <c r="I88" s="161">
        <f>'BS CF'!I49</f>
        <v>0</v>
      </c>
      <c r="J88" s="159">
        <f>'BS CF'!J49</f>
        <v>0</v>
      </c>
      <c r="K88" s="159">
        <f>'BS CF'!K49</f>
        <v>0</v>
      </c>
      <c r="L88" s="159">
        <f>'BS CF'!L49</f>
        <v>0</v>
      </c>
      <c r="M88" s="85"/>
      <c r="N88" s="15"/>
      <c r="O88" s="16"/>
    </row>
    <row r="89" spans="1:15" ht="16" customHeight="1">
      <c r="A89" s="153"/>
      <c r="B89" s="162"/>
      <c r="C89" s="163"/>
      <c r="D89" s="163"/>
      <c r="E89" s="163"/>
      <c r="F89" s="131" t="s">
        <v>51</v>
      </c>
      <c r="G89" s="164"/>
      <c r="H89" s="508">
        <f>'BS CF'!H50</f>
        <v>0</v>
      </c>
      <c r="I89" s="161">
        <f>'BS CF'!I50</f>
        <v>0</v>
      </c>
      <c r="J89" s="159">
        <f>'BS CF'!J50</f>
        <v>0</v>
      </c>
      <c r="K89" s="159">
        <f>'BS CF'!K50</f>
        <v>0</v>
      </c>
      <c r="L89" s="159">
        <f>'BS CF'!L50</f>
        <v>0</v>
      </c>
      <c r="M89" s="14"/>
      <c r="N89" s="15"/>
      <c r="O89" s="16"/>
    </row>
    <row r="90" spans="1:15" ht="15" customHeight="1">
      <c r="A90" s="133"/>
      <c r="B90" s="134" t="s">
        <v>52</v>
      </c>
      <c r="C90" s="135"/>
      <c r="D90" s="135"/>
      <c r="E90" s="135"/>
      <c r="F90" s="136"/>
      <c r="G90" s="166"/>
      <c r="H90" s="513">
        <f>SUM(H87:H89)</f>
        <v>0</v>
      </c>
      <c r="I90" s="170">
        <f>SUM(I87:I89)</f>
        <v>0</v>
      </c>
      <c r="J90" s="137">
        <f>SUM(J87:J89)</f>
        <v>0</v>
      </c>
      <c r="K90" s="137">
        <f>SUM(K87:K89)</f>
        <v>0</v>
      </c>
      <c r="L90" s="137">
        <f>SUM(L87:L89)</f>
        <v>0</v>
      </c>
      <c r="M90" s="113"/>
      <c r="N90" s="15"/>
      <c r="O90" s="16"/>
    </row>
    <row r="91" spans="1:15" ht="17" customHeight="1">
      <c r="A91" s="153"/>
      <c r="B91" s="171"/>
      <c r="C91" s="115"/>
      <c r="D91" s="115"/>
      <c r="E91" s="115"/>
      <c r="F91" s="172"/>
      <c r="G91" s="173"/>
      <c r="H91" s="514"/>
      <c r="I91" s="174"/>
      <c r="J91" s="119"/>
      <c r="K91" s="119"/>
      <c r="L91" s="119"/>
      <c r="M91" s="14"/>
      <c r="N91" s="15"/>
      <c r="O91" s="16"/>
    </row>
    <row r="92" spans="1:15" ht="15.75" customHeight="1">
      <c r="A92" s="94"/>
      <c r="B92" s="175" t="s">
        <v>53</v>
      </c>
      <c r="C92" s="176"/>
      <c r="D92" s="177"/>
      <c r="E92" s="616"/>
      <c r="F92" s="617"/>
      <c r="G92" s="178"/>
      <c r="H92" s="515">
        <f>H80-H84+H90</f>
        <v>-701404.09799149376</v>
      </c>
      <c r="I92" s="179">
        <f>I80-I84+I90</f>
        <v>-506431.02074777143</v>
      </c>
      <c r="J92" s="180">
        <f>J80-J84+J90</f>
        <v>-120326.66834948535</v>
      </c>
      <c r="K92" s="180">
        <f>K80-K84+K90</f>
        <v>583763.01366464689</v>
      </c>
      <c r="L92" s="180">
        <f>L80-L84+L90</f>
        <v>813838.0299647213</v>
      </c>
      <c r="M92" s="14"/>
      <c r="N92" s="15"/>
      <c r="O92" s="16"/>
    </row>
    <row r="93" spans="1:15" ht="16" customHeight="1">
      <c r="A93" s="153"/>
      <c r="B93" s="181"/>
      <c r="C93" s="182"/>
      <c r="D93" s="183"/>
      <c r="E93" s="155"/>
      <c r="F93" s="156"/>
      <c r="G93" s="184"/>
      <c r="H93" s="516"/>
      <c r="I93" s="185"/>
      <c r="J93" s="184"/>
      <c r="K93" s="184"/>
      <c r="L93" s="184"/>
      <c r="M93" s="14"/>
      <c r="N93" s="15"/>
      <c r="O93" s="16"/>
    </row>
    <row r="94" spans="1:15" ht="19" customHeight="1">
      <c r="A94" s="153"/>
      <c r="B94" s="124" t="s">
        <v>54</v>
      </c>
      <c r="C94" s="15"/>
      <c r="D94" s="15"/>
      <c r="E94" s="15"/>
      <c r="F94" s="149"/>
      <c r="G94" s="106"/>
      <c r="H94" s="511"/>
      <c r="I94" s="63"/>
      <c r="J94" s="106"/>
      <c r="K94" s="106"/>
      <c r="L94" s="106"/>
      <c r="M94" s="14"/>
      <c r="N94" s="15"/>
      <c r="O94" s="16"/>
    </row>
    <row r="95" spans="1:15" ht="16" customHeight="1">
      <c r="A95" s="153"/>
      <c r="B95" s="14"/>
      <c r="C95" s="15"/>
      <c r="D95" s="15"/>
      <c r="E95" s="15"/>
      <c r="F95" s="83" t="s">
        <v>55</v>
      </c>
      <c r="G95" s="106"/>
      <c r="H95" s="508">
        <f>'BS CF'!D29</f>
        <v>200000</v>
      </c>
      <c r="I95" s="161">
        <f>H97</f>
        <v>-501404.09799149376</v>
      </c>
      <c r="J95" s="159">
        <f>I97</f>
        <v>-1007835.1187392653</v>
      </c>
      <c r="K95" s="159">
        <f>J97</f>
        <v>-1128161.7870887506</v>
      </c>
      <c r="L95" s="84">
        <f>K97</f>
        <v>-544398.77342410374</v>
      </c>
      <c r="M95" s="14"/>
      <c r="N95" s="15"/>
      <c r="O95" s="16"/>
    </row>
    <row r="96" spans="1:15" ht="17" customHeight="1">
      <c r="A96" s="153"/>
      <c r="B96" s="171"/>
      <c r="C96" s="115"/>
      <c r="D96" s="115"/>
      <c r="E96" s="115"/>
      <c r="F96" s="186" t="s">
        <v>53</v>
      </c>
      <c r="G96" s="187"/>
      <c r="H96" s="514">
        <f>H92</f>
        <v>-701404.09799149376</v>
      </c>
      <c r="I96" s="174">
        <f>I92</f>
        <v>-506431.02074777143</v>
      </c>
      <c r="J96" s="119">
        <f>J92</f>
        <v>-120326.66834948535</v>
      </c>
      <c r="K96" s="119">
        <f>K92</f>
        <v>583763.01366464689</v>
      </c>
      <c r="L96" s="119">
        <f>L92</f>
        <v>813838.0299647213</v>
      </c>
      <c r="M96" s="14"/>
      <c r="N96" s="15"/>
      <c r="O96" s="16"/>
    </row>
    <row r="97" spans="1:15" ht="15.75" customHeight="1">
      <c r="A97" s="94"/>
      <c r="B97" s="175" t="s">
        <v>56</v>
      </c>
      <c r="C97" s="176"/>
      <c r="D97" s="177"/>
      <c r="E97" s="616"/>
      <c r="F97" s="617"/>
      <c r="G97" s="178"/>
      <c r="H97" s="515">
        <f>SUM(H95:H96)</f>
        <v>-501404.09799149376</v>
      </c>
      <c r="I97" s="179">
        <f>SUM(I95:I96)</f>
        <v>-1007835.1187392653</v>
      </c>
      <c r="J97" s="180">
        <f>SUM(J95:J96)</f>
        <v>-1128161.7870887506</v>
      </c>
      <c r="K97" s="180">
        <f>SUM(K95:K96)</f>
        <v>-544398.77342410374</v>
      </c>
      <c r="L97" s="180">
        <f>SUM(L95:L96)</f>
        <v>269439.25654061756</v>
      </c>
      <c r="M97" s="14"/>
      <c r="N97" s="15"/>
      <c r="O97" s="16"/>
    </row>
  </sheetData>
  <mergeCells count="10">
    <mergeCell ref="E60:F60"/>
    <mergeCell ref="E92:F92"/>
    <mergeCell ref="E67:F67"/>
    <mergeCell ref="E97:F97"/>
    <mergeCell ref="E13:F13"/>
    <mergeCell ref="E46:F46"/>
    <mergeCell ref="E43:F43"/>
    <mergeCell ref="E32:F32"/>
    <mergeCell ref="E53:F53"/>
    <mergeCell ref="E19:F19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174"/>
  <sheetViews>
    <sheetView showGridLines="0" workbookViewId="0">
      <selection activeCell="L123" sqref="L123"/>
    </sheetView>
  </sheetViews>
  <sheetFormatPr baseColWidth="10" defaultColWidth="11.1640625" defaultRowHeight="16" customHeight="1"/>
  <cols>
    <col min="1" max="1" width="7" style="1" customWidth="1"/>
    <col min="2" max="2" width="11" style="1" customWidth="1"/>
    <col min="3" max="3" width="18.83203125" style="1" customWidth="1"/>
    <col min="4" max="5" width="18.5" style="1" customWidth="1"/>
    <col min="6" max="6" width="10.5" style="1" customWidth="1"/>
    <col min="7" max="7" width="13.33203125" style="1" customWidth="1"/>
    <col min="8" max="12" width="18.5" style="1" customWidth="1"/>
    <col min="13" max="13" width="40.5" style="1" customWidth="1"/>
    <col min="14" max="14" width="15.1640625" style="1" customWidth="1"/>
    <col min="15" max="255" width="11.1640625" style="1" customWidth="1"/>
  </cols>
  <sheetData>
    <row r="1" spans="1:255" ht="25" customHeight="1">
      <c r="A1" s="192"/>
      <c r="B1" s="57" t="s">
        <v>19</v>
      </c>
      <c r="C1" s="193"/>
      <c r="D1" s="619"/>
      <c r="E1" s="619"/>
      <c r="F1" s="619"/>
      <c r="G1" s="619"/>
      <c r="H1" s="619"/>
      <c r="I1" s="61" t="str">
        <f>"tip: input your assumptions and forecast parameters for "&amp;$E$5&amp;" on the left or in the lightly green highlighted cells below."</f>
        <v>tip: input your assumptions and forecast parameters for  on the left or in the lightly green highlighted cells below.</v>
      </c>
      <c r="J1" s="5"/>
      <c r="K1" s="6"/>
      <c r="L1" s="6"/>
      <c r="M1" s="6"/>
      <c r="N1" s="7"/>
      <c r="O1" s="19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7"/>
    </row>
    <row r="2" spans="1:255" ht="16" customHeight="1">
      <c r="A2" s="48"/>
      <c r="B2" s="195"/>
      <c r="C2" s="196"/>
      <c r="D2" s="115"/>
      <c r="E2" s="115"/>
      <c r="F2" s="115"/>
      <c r="G2" s="197" t="s">
        <v>64</v>
      </c>
      <c r="H2" s="198">
        <v>1</v>
      </c>
      <c r="I2" s="198">
        <v>2</v>
      </c>
      <c r="J2" s="198">
        <v>3</v>
      </c>
      <c r="K2" s="198">
        <v>4</v>
      </c>
      <c r="L2" s="198">
        <v>5</v>
      </c>
      <c r="M2" s="15"/>
      <c r="N2" s="16"/>
      <c r="O2" s="48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6"/>
    </row>
    <row r="3" spans="1:255" ht="20" customHeight="1">
      <c r="A3" s="199"/>
      <c r="B3" s="557" t="str">
        <f>Introduction!D4&amp;" Revenue"</f>
        <v>Unicorn Inc. Revenue</v>
      </c>
      <c r="C3" s="201"/>
      <c r="D3" s="201"/>
      <c r="E3" s="201"/>
      <c r="F3" s="201"/>
      <c r="G3" s="202"/>
      <c r="H3" s="203" t="str">
        <f>"Year "&amp;H2</f>
        <v>Year 1</v>
      </c>
      <c r="I3" s="203" t="str">
        <f>"Year "&amp;I2</f>
        <v>Year 2</v>
      </c>
      <c r="J3" s="203" t="str">
        <f>"Year "&amp;J2</f>
        <v>Year 3</v>
      </c>
      <c r="K3" s="203" t="str">
        <f>"Year "&amp;K2</f>
        <v>Year 4</v>
      </c>
      <c r="L3" s="204" t="str">
        <f>"Year "&amp;L2</f>
        <v>Year 5</v>
      </c>
      <c r="M3" s="205"/>
      <c r="N3" s="16"/>
      <c r="O3" s="48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6"/>
    </row>
    <row r="4" spans="1:255" ht="12" customHeight="1">
      <c r="A4" s="206"/>
      <c r="B4" s="207"/>
      <c r="C4" s="208"/>
      <c r="D4" s="208"/>
      <c r="E4" s="207"/>
      <c r="F4" s="208"/>
      <c r="G4" s="208"/>
      <c r="H4" s="209"/>
      <c r="I4" s="209"/>
      <c r="J4" s="209"/>
      <c r="K4" s="209"/>
      <c r="L4" s="209"/>
      <c r="M4" s="15"/>
      <c r="N4" s="16"/>
      <c r="O4" s="48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6"/>
    </row>
    <row r="5" spans="1:255" ht="20" customHeight="1">
      <c r="A5" s="210"/>
      <c r="B5" s="211" t="s">
        <v>65</v>
      </c>
      <c r="C5" s="201"/>
      <c r="D5" s="201"/>
      <c r="E5" s="201"/>
      <c r="F5" s="201"/>
      <c r="G5" s="202"/>
      <c r="H5" s="212" t="str">
        <f t="shared" ref="H5:H53" si="0">H$3</f>
        <v>Year 1</v>
      </c>
      <c r="I5" s="212" t="str">
        <f>I$3</f>
        <v>Year 2</v>
      </c>
      <c r="J5" s="212" t="str">
        <f>J$3</f>
        <v>Year 3</v>
      </c>
      <c r="K5" s="212" t="str">
        <f>K$3</f>
        <v>Year 4</v>
      </c>
      <c r="L5" s="213" t="str">
        <f>L$3</f>
        <v>Year 5</v>
      </c>
      <c r="M5" s="14"/>
      <c r="N5" s="16"/>
      <c r="O5" s="48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6"/>
    </row>
    <row r="6" spans="1:255" ht="16" customHeight="1">
      <c r="A6" s="133"/>
      <c r="B6" s="214"/>
      <c r="C6" s="215"/>
      <c r="D6" s="215"/>
      <c r="E6" s="215"/>
      <c r="F6" s="215"/>
      <c r="G6" s="216"/>
      <c r="H6" s="217"/>
      <c r="I6" s="218"/>
      <c r="J6" s="218"/>
      <c r="K6" s="218"/>
      <c r="L6" s="218"/>
      <c r="M6" s="14"/>
      <c r="N6" s="16"/>
      <c r="O6" s="48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6"/>
    </row>
    <row r="7" spans="1:255" ht="16" customHeight="1">
      <c r="A7" s="133"/>
      <c r="B7" s="219" t="s">
        <v>66</v>
      </c>
      <c r="C7" s="220"/>
      <c r="D7" s="221"/>
      <c r="E7" s="221"/>
      <c r="F7" s="221"/>
      <c r="G7" s="222"/>
      <c r="H7" s="223"/>
      <c r="I7" s="224"/>
      <c r="J7" s="224"/>
      <c r="K7" s="224"/>
      <c r="L7" s="224"/>
      <c r="M7" s="14"/>
      <c r="N7" s="16"/>
      <c r="O7" s="48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6"/>
    </row>
    <row r="8" spans="1:255" ht="16" customHeight="1">
      <c r="A8" s="133"/>
      <c r="B8" s="14"/>
      <c r="C8" s="35"/>
      <c r="D8" s="221"/>
      <c r="E8" s="221"/>
      <c r="F8" s="221"/>
      <c r="G8" s="222"/>
      <c r="H8" s="225"/>
      <c r="I8" s="226"/>
      <c r="J8" s="226"/>
      <c r="K8" s="226"/>
      <c r="L8" s="226"/>
      <c r="M8" s="14"/>
      <c r="N8" s="16"/>
      <c r="O8" s="48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6"/>
    </row>
    <row r="9" spans="1:255" ht="16" customHeight="1">
      <c r="A9" s="133"/>
      <c r="B9" s="14"/>
      <c r="C9" s="227" t="s">
        <v>67</v>
      </c>
      <c r="D9" s="228"/>
      <c r="E9" s="221"/>
      <c r="F9" s="221"/>
      <c r="G9" s="222"/>
      <c r="H9" s="229">
        <v>0.5</v>
      </c>
      <c r="I9" s="229">
        <v>0.8</v>
      </c>
      <c r="J9" s="229">
        <v>0.8</v>
      </c>
      <c r="K9" s="229">
        <v>0.8</v>
      </c>
      <c r="L9" s="229">
        <v>0.8</v>
      </c>
      <c r="M9" s="230"/>
      <c r="N9" s="16"/>
      <c r="O9" s="48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6"/>
    </row>
    <row r="10" spans="1:255" ht="16" customHeight="1">
      <c r="A10" s="133"/>
      <c r="B10" s="14"/>
      <c r="C10" s="227" t="s">
        <v>68</v>
      </c>
      <c r="D10" s="231">
        <v>100000</v>
      </c>
      <c r="E10" s="232"/>
      <c r="F10" s="221"/>
      <c r="G10" s="233" t="s">
        <v>69</v>
      </c>
      <c r="H10" s="234">
        <f>D10*(1+H9)</f>
        <v>150000</v>
      </c>
      <c r="I10" s="235">
        <f>H10*(1+I9)</f>
        <v>270000</v>
      </c>
      <c r="J10" s="235">
        <f>I10*(1+J9)</f>
        <v>486000</v>
      </c>
      <c r="K10" s="235">
        <f>J10*(1+K9)</f>
        <v>874800</v>
      </c>
      <c r="L10" s="236">
        <f>K10*(1+L9)</f>
        <v>1574640</v>
      </c>
      <c r="M10" s="230"/>
      <c r="N10" s="16"/>
      <c r="O10" s="48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6"/>
    </row>
    <row r="11" spans="1:255" ht="16" customHeight="1">
      <c r="A11" s="133"/>
      <c r="B11" s="14"/>
      <c r="C11" s="237" t="s">
        <v>70</v>
      </c>
      <c r="D11" s="238">
        <v>1.5</v>
      </c>
      <c r="E11" s="239"/>
      <c r="F11" s="240"/>
      <c r="G11" s="241"/>
      <c r="H11" s="242"/>
      <c r="I11" s="243"/>
      <c r="J11" s="243"/>
      <c r="K11" s="243"/>
      <c r="L11" s="243"/>
      <c r="M11" s="244"/>
      <c r="N11" s="16"/>
      <c r="O11" s="48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6"/>
    </row>
    <row r="12" spans="1:255" ht="16" customHeight="1">
      <c r="A12" s="133"/>
      <c r="B12" s="14"/>
      <c r="C12" s="189" t="s">
        <v>71</v>
      </c>
      <c r="D12" s="135"/>
      <c r="E12" s="135"/>
      <c r="F12" s="135"/>
      <c r="G12" s="245"/>
      <c r="H12" s="246">
        <f>H10/$D11</f>
        <v>100000</v>
      </c>
      <c r="I12" s="247">
        <f>I10/$D11</f>
        <v>180000</v>
      </c>
      <c r="J12" s="247">
        <f>J10/$D11</f>
        <v>324000</v>
      </c>
      <c r="K12" s="247">
        <f>K10/$D11</f>
        <v>583200</v>
      </c>
      <c r="L12" s="247">
        <f>L10/$D11</f>
        <v>1049760</v>
      </c>
      <c r="M12" s="244"/>
      <c r="N12" s="16"/>
      <c r="O12" s="4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6"/>
    </row>
    <row r="13" spans="1:255" ht="16" customHeight="1">
      <c r="A13" s="133"/>
      <c r="B13" s="14"/>
      <c r="C13" s="35"/>
      <c r="D13" s="35"/>
      <c r="E13" s="15"/>
      <c r="F13" s="15"/>
      <c r="G13" s="222"/>
      <c r="H13" s="248"/>
      <c r="I13" s="249"/>
      <c r="J13" s="249"/>
      <c r="K13" s="249"/>
      <c r="L13" s="249"/>
      <c r="M13" s="244"/>
      <c r="N13" s="16"/>
      <c r="O13" s="4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6"/>
    </row>
    <row r="14" spans="1:255" ht="16" customHeight="1">
      <c r="A14" s="133"/>
      <c r="B14" s="219" t="s">
        <v>72</v>
      </c>
      <c r="C14" s="35"/>
      <c r="D14" s="35"/>
      <c r="E14" s="15"/>
      <c r="F14" s="15"/>
      <c r="G14" s="222"/>
      <c r="H14" s="248"/>
      <c r="I14" s="249"/>
      <c r="J14" s="249"/>
      <c r="K14" s="249"/>
      <c r="L14" s="249"/>
      <c r="M14" s="244"/>
      <c r="N14" s="16"/>
      <c r="O14" s="4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6"/>
    </row>
    <row r="15" spans="1:255" ht="16" customHeight="1">
      <c r="A15" s="133"/>
      <c r="B15" s="14"/>
      <c r="C15" s="35"/>
      <c r="D15" s="35"/>
      <c r="E15" s="15"/>
      <c r="F15" s="15"/>
      <c r="G15" s="222"/>
      <c r="H15" s="250"/>
      <c r="I15" s="251"/>
      <c r="J15" s="251"/>
      <c r="K15" s="251"/>
      <c r="L15" s="251"/>
      <c r="M15" s="244"/>
      <c r="N15" s="16"/>
      <c r="O15" s="4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6"/>
    </row>
    <row r="16" spans="1:255" ht="16" customHeight="1">
      <c r="A16" s="133"/>
      <c r="B16" s="14"/>
      <c r="C16" s="504" t="s">
        <v>214</v>
      </c>
      <c r="D16" s="252"/>
      <c r="E16" s="15"/>
      <c r="F16" s="15"/>
      <c r="G16" s="222"/>
      <c r="H16" s="229">
        <v>0.15</v>
      </c>
      <c r="I16" s="229">
        <v>0.15</v>
      </c>
      <c r="J16" s="229">
        <v>0.15</v>
      </c>
      <c r="K16" s="229">
        <v>0.15</v>
      </c>
      <c r="L16" s="229">
        <v>0.15</v>
      </c>
      <c r="M16" s="232"/>
      <c r="N16" s="16"/>
      <c r="O16" s="48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6"/>
    </row>
    <row r="17" spans="1:255" ht="16" customHeight="1">
      <c r="A17" s="133"/>
      <c r="B17" s="14"/>
      <c r="C17" s="595" t="s">
        <v>239</v>
      </c>
      <c r="D17" s="254">
        <v>100000</v>
      </c>
      <c r="E17" s="230"/>
      <c r="F17" s="15"/>
      <c r="G17" s="233" t="s">
        <v>74</v>
      </c>
      <c r="H17" s="596">
        <f>D17*(1+H16)</f>
        <v>114999.99999999999</v>
      </c>
      <c r="I17" s="597">
        <f>H17*(1+I16)</f>
        <v>132249.99999999997</v>
      </c>
      <c r="J17" s="597">
        <f>I17*(1+J16)</f>
        <v>152087.49999999994</v>
      </c>
      <c r="K17" s="597">
        <f>J17*(1+K16)</f>
        <v>174900.62499999991</v>
      </c>
      <c r="L17" s="597">
        <f>K17*(1+L16)</f>
        <v>201135.71874999988</v>
      </c>
      <c r="M17" s="244"/>
      <c r="N17" s="16"/>
      <c r="O17" s="4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6"/>
    </row>
    <row r="18" spans="1:255" ht="16" customHeight="1">
      <c r="A18" s="133"/>
      <c r="B18" s="162"/>
      <c r="C18" s="255"/>
      <c r="D18" s="255"/>
      <c r="E18" s="163"/>
      <c r="F18" s="240"/>
      <c r="G18" s="241"/>
      <c r="H18" s="242"/>
      <c r="I18" s="243"/>
      <c r="J18" s="243"/>
      <c r="K18" s="243"/>
      <c r="L18" s="243"/>
      <c r="M18" s="14"/>
      <c r="N18" s="16"/>
      <c r="O18" s="4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6"/>
    </row>
    <row r="19" spans="1:255" ht="16" customHeight="1">
      <c r="A19" s="133"/>
      <c r="B19" s="256" t="s">
        <v>75</v>
      </c>
      <c r="C19" s="135"/>
      <c r="D19" s="135"/>
      <c r="E19" s="135"/>
      <c r="F19" s="135"/>
      <c r="G19" s="257"/>
      <c r="H19" s="246">
        <f>SUM(H12,H17)</f>
        <v>215000</v>
      </c>
      <c r="I19" s="247">
        <f>SUM(I12,I17)</f>
        <v>312250</v>
      </c>
      <c r="J19" s="247">
        <f>SUM(J12,J17)</f>
        <v>476087.49999999994</v>
      </c>
      <c r="K19" s="247">
        <f>SUM(K12,K17)</f>
        <v>758100.62499999988</v>
      </c>
      <c r="L19" s="247">
        <f>SUM(L12,L17)</f>
        <v>1250895.71875</v>
      </c>
      <c r="M19" s="14"/>
      <c r="N19" s="16"/>
      <c r="O19" s="4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6"/>
    </row>
    <row r="20" spans="1:255" ht="17" customHeight="1">
      <c r="A20" s="133"/>
      <c r="B20" s="14"/>
      <c r="C20" s="35"/>
      <c r="D20" s="35"/>
      <c r="E20" s="15"/>
      <c r="F20" s="221"/>
      <c r="G20" s="222"/>
      <c r="H20" s="248"/>
      <c r="I20" s="249"/>
      <c r="J20" s="249"/>
      <c r="K20" s="249"/>
      <c r="L20" s="249"/>
      <c r="M20" s="14"/>
      <c r="N20" s="16"/>
      <c r="O20" s="4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6"/>
    </row>
    <row r="21" spans="1:255" ht="16" customHeight="1">
      <c r="A21" s="133"/>
      <c r="B21" s="219" t="s">
        <v>76</v>
      </c>
      <c r="C21" s="220"/>
      <c r="D21" s="228"/>
      <c r="E21" s="221"/>
      <c r="F21" s="221"/>
      <c r="G21" s="222"/>
      <c r="H21" s="223"/>
      <c r="I21" s="224"/>
      <c r="J21" s="224"/>
      <c r="K21" s="224"/>
      <c r="L21" s="224"/>
      <c r="M21" s="14"/>
      <c r="N21" s="16"/>
      <c r="O21" s="4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6"/>
    </row>
    <row r="22" spans="1:255" ht="16" customHeight="1">
      <c r="A22" s="133"/>
      <c r="B22" s="14"/>
      <c r="C22" s="258" t="s">
        <v>77</v>
      </c>
      <c r="D22" s="259">
        <v>8.9999999999999993E-3</v>
      </c>
      <c r="E22" s="260"/>
      <c r="F22" s="240"/>
      <c r="G22" s="261"/>
      <c r="H22" s="262"/>
      <c r="I22" s="263"/>
      <c r="J22" s="263"/>
      <c r="K22" s="263"/>
      <c r="L22" s="263"/>
      <c r="M22" s="14"/>
      <c r="N22" s="16"/>
      <c r="O22" s="48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6"/>
    </row>
    <row r="23" spans="1:255" ht="16" customHeight="1">
      <c r="A23" s="133"/>
      <c r="B23" s="14"/>
      <c r="C23" s="189" t="s">
        <v>76</v>
      </c>
      <c r="D23" s="135"/>
      <c r="E23" s="135"/>
      <c r="F23" s="135"/>
      <c r="G23" s="245"/>
      <c r="H23" s="246">
        <f>$D22*H19</f>
        <v>1934.9999999999998</v>
      </c>
      <c r="I23" s="247">
        <f>$D22*I19</f>
        <v>2810.25</v>
      </c>
      <c r="J23" s="247">
        <f>$D22*J19</f>
        <v>4284.7874999999995</v>
      </c>
      <c r="K23" s="247">
        <f>$D22*K19</f>
        <v>6822.9056249999985</v>
      </c>
      <c r="L23" s="247">
        <f>$D22*L19</f>
        <v>11258.061468749998</v>
      </c>
      <c r="M23" s="14"/>
      <c r="N23" s="16"/>
      <c r="O23" s="4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6"/>
    </row>
    <row r="24" spans="1:255" ht="16" customHeight="1">
      <c r="A24" s="133"/>
      <c r="B24" s="14"/>
      <c r="C24" s="220"/>
      <c r="D24" s="221"/>
      <c r="E24" s="221"/>
      <c r="F24" s="221"/>
      <c r="G24" s="222"/>
      <c r="H24" s="248"/>
      <c r="I24" s="249"/>
      <c r="J24" s="249"/>
      <c r="K24" s="249"/>
      <c r="L24" s="249"/>
      <c r="M24" s="14"/>
      <c r="N24" s="16"/>
      <c r="O24" s="48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6"/>
    </row>
    <row r="25" spans="1:255" ht="16" customHeight="1">
      <c r="A25" s="133"/>
      <c r="B25" s="219" t="s">
        <v>78</v>
      </c>
      <c r="C25" s="220"/>
      <c r="D25" s="264" t="s">
        <v>79</v>
      </c>
      <c r="E25" s="265" t="s">
        <v>80</v>
      </c>
      <c r="F25" s="221"/>
      <c r="G25" s="222"/>
      <c r="H25" s="248"/>
      <c r="I25" s="249"/>
      <c r="J25" s="249"/>
      <c r="K25" s="249"/>
      <c r="L25" s="249"/>
      <c r="M25" s="14"/>
      <c r="N25" s="16"/>
      <c r="O25" s="48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6"/>
    </row>
    <row r="26" spans="1:255" ht="16" customHeight="1">
      <c r="A26" s="133"/>
      <c r="B26" s="14"/>
      <c r="C26" s="188" t="s">
        <v>216</v>
      </c>
      <c r="D26" s="266">
        <v>0.75</v>
      </c>
      <c r="E26" s="221"/>
      <c r="F26" s="221"/>
      <c r="G26" s="233" t="str">
        <f>"New Subscribers - "&amp;C26</f>
        <v>New Subscribers - A</v>
      </c>
      <c r="H26" s="248">
        <f t="shared" ref="H26:L29" si="1">INT($D26*H$23)</f>
        <v>1451</v>
      </c>
      <c r="I26" s="249">
        <f t="shared" si="1"/>
        <v>2107</v>
      </c>
      <c r="J26" s="249">
        <f t="shared" si="1"/>
        <v>3213</v>
      </c>
      <c r="K26" s="249">
        <f t="shared" si="1"/>
        <v>5117</v>
      </c>
      <c r="L26" s="249">
        <f t="shared" si="1"/>
        <v>8443</v>
      </c>
      <c r="M26" s="14"/>
      <c r="N26" s="16"/>
      <c r="O26" s="48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6"/>
    </row>
    <row r="27" spans="1:255" ht="16" customHeight="1">
      <c r="A27" s="133"/>
      <c r="B27" s="14"/>
      <c r="C27" s="188" t="s">
        <v>217</v>
      </c>
      <c r="D27" s="266">
        <v>0.25</v>
      </c>
      <c r="E27" s="221"/>
      <c r="F27" s="221"/>
      <c r="G27" s="233" t="str">
        <f>"New Subscribers - "&amp;C27</f>
        <v>New Subscribers - B</v>
      </c>
      <c r="H27" s="248">
        <f t="shared" si="1"/>
        <v>483</v>
      </c>
      <c r="I27" s="249">
        <f t="shared" si="1"/>
        <v>702</v>
      </c>
      <c r="J27" s="249">
        <f t="shared" si="1"/>
        <v>1071</v>
      </c>
      <c r="K27" s="249">
        <f t="shared" si="1"/>
        <v>1705</v>
      </c>
      <c r="L27" s="249">
        <f t="shared" si="1"/>
        <v>2814</v>
      </c>
      <c r="M27" s="14"/>
      <c r="N27" s="16"/>
      <c r="O27" s="4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6"/>
    </row>
    <row r="28" spans="1:255" ht="16" customHeight="1">
      <c r="A28" s="133"/>
      <c r="B28" s="14"/>
      <c r="C28" s="188" t="s">
        <v>218</v>
      </c>
      <c r="D28" s="266">
        <v>0</v>
      </c>
      <c r="E28" s="221"/>
      <c r="F28" s="221"/>
      <c r="G28" s="233" t="str">
        <f>"New Subscribers - "&amp;C28</f>
        <v>New Subscribers - C</v>
      </c>
      <c r="H28" s="248">
        <f t="shared" si="1"/>
        <v>0</v>
      </c>
      <c r="I28" s="249">
        <f>INT($D28*I$23)</f>
        <v>0</v>
      </c>
      <c r="J28" s="249">
        <f t="shared" si="1"/>
        <v>0</v>
      </c>
      <c r="K28" s="249">
        <f t="shared" si="1"/>
        <v>0</v>
      </c>
      <c r="L28" s="249">
        <f t="shared" si="1"/>
        <v>0</v>
      </c>
      <c r="M28" s="14"/>
      <c r="N28" s="16"/>
      <c r="O28" s="48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6"/>
    </row>
    <row r="29" spans="1:255" ht="16" customHeight="1">
      <c r="A29" s="133"/>
      <c r="B29" s="14"/>
      <c r="C29" s="188" t="s">
        <v>219</v>
      </c>
      <c r="D29" s="266">
        <v>0</v>
      </c>
      <c r="E29" s="221"/>
      <c r="F29" s="221"/>
      <c r="G29" s="233" t="str">
        <f>"New Subscribers - "&amp;C29</f>
        <v>New Subscribers - D</v>
      </c>
      <c r="H29" s="248">
        <f t="shared" si="1"/>
        <v>0</v>
      </c>
      <c r="I29" s="249">
        <f t="shared" si="1"/>
        <v>0</v>
      </c>
      <c r="J29" s="249">
        <f t="shared" si="1"/>
        <v>0</v>
      </c>
      <c r="K29" s="249">
        <f t="shared" si="1"/>
        <v>0</v>
      </c>
      <c r="L29" s="249">
        <f t="shared" si="1"/>
        <v>0</v>
      </c>
      <c r="M29" s="14"/>
      <c r="N29" s="16"/>
      <c r="O29" s="48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6"/>
    </row>
    <row r="30" spans="1:255" ht="16" customHeight="1">
      <c r="A30" s="133"/>
      <c r="B30" s="14"/>
      <c r="C30" s="220"/>
      <c r="D30" s="221"/>
      <c r="E30" s="221"/>
      <c r="F30" s="221"/>
      <c r="G30" s="222"/>
      <c r="H30" s="248"/>
      <c r="I30" s="249"/>
      <c r="J30" s="249"/>
      <c r="K30" s="249"/>
      <c r="L30" s="249"/>
      <c r="M30" s="14"/>
      <c r="N30" s="16"/>
      <c r="O30" s="48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6"/>
    </row>
    <row r="31" spans="1:255" ht="16" customHeight="1">
      <c r="A31" s="133"/>
      <c r="B31" s="219" t="s">
        <v>81</v>
      </c>
      <c r="C31" s="220"/>
      <c r="D31" s="264" t="s">
        <v>82</v>
      </c>
      <c r="E31" s="267"/>
      <c r="F31" s="221"/>
      <c r="G31" s="222"/>
      <c r="H31" s="268"/>
      <c r="I31" s="223"/>
      <c r="J31" s="224"/>
      <c r="K31" s="224"/>
      <c r="L31" s="224"/>
      <c r="M31" s="14"/>
      <c r="N31" s="16"/>
      <c r="O31" s="48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6"/>
    </row>
    <row r="32" spans="1:255" ht="16" customHeight="1">
      <c r="A32" s="133"/>
      <c r="B32" s="269"/>
      <c r="C32" s="270" t="str">
        <f>C46</f>
        <v>A</v>
      </c>
      <c r="D32" s="271">
        <v>0.02</v>
      </c>
      <c r="E32" s="272"/>
      <c r="F32" s="221"/>
      <c r="G32" s="222"/>
      <c r="H32" s="223">
        <f>INT($D32*(D38+H26))</f>
        <v>39</v>
      </c>
      <c r="I32" s="224">
        <f t="shared" ref="I32:L35" si="2">INT($D32*(H38+I26))</f>
        <v>81</v>
      </c>
      <c r="J32" s="224">
        <f t="shared" si="2"/>
        <v>143</v>
      </c>
      <c r="K32" s="224">
        <f t="shared" si="2"/>
        <v>243</v>
      </c>
      <c r="L32" s="224">
        <f t="shared" si="2"/>
        <v>407</v>
      </c>
      <c r="M32" s="14"/>
      <c r="N32" s="16"/>
      <c r="O32" s="48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6"/>
    </row>
    <row r="33" spans="1:255" ht="16" customHeight="1">
      <c r="A33" s="133"/>
      <c r="B33" s="269"/>
      <c r="C33" s="270" t="str">
        <f>C47</f>
        <v>B</v>
      </c>
      <c r="D33" s="271">
        <v>0.02</v>
      </c>
      <c r="E33" s="272"/>
      <c r="F33" s="221"/>
      <c r="G33" s="222"/>
      <c r="H33" s="223">
        <f>INT($D33*(D39+H27))</f>
        <v>13</v>
      </c>
      <c r="I33" s="224">
        <f t="shared" si="2"/>
        <v>27</v>
      </c>
      <c r="J33" s="224">
        <f t="shared" si="2"/>
        <v>47</v>
      </c>
      <c r="K33" s="224">
        <f t="shared" si="2"/>
        <v>81</v>
      </c>
      <c r="L33" s="224">
        <f t="shared" si="2"/>
        <v>135</v>
      </c>
      <c r="M33" s="14"/>
      <c r="N33" s="16"/>
      <c r="O33" s="48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6"/>
    </row>
    <row r="34" spans="1:255" ht="16" customHeight="1">
      <c r="A34" s="133"/>
      <c r="B34" s="269"/>
      <c r="C34" s="270" t="str">
        <f>C48</f>
        <v>C</v>
      </c>
      <c r="D34" s="271">
        <v>0.02</v>
      </c>
      <c r="E34" s="272"/>
      <c r="F34" s="221"/>
      <c r="G34" s="222"/>
      <c r="H34" s="223">
        <f>INT($D34*(D40+H28))</f>
        <v>0</v>
      </c>
      <c r="I34" s="224">
        <f t="shared" si="2"/>
        <v>0</v>
      </c>
      <c r="J34" s="224">
        <f t="shared" si="2"/>
        <v>0</v>
      </c>
      <c r="K34" s="224">
        <f t="shared" si="2"/>
        <v>0</v>
      </c>
      <c r="L34" s="224">
        <f t="shared" si="2"/>
        <v>0</v>
      </c>
      <c r="M34" s="14"/>
      <c r="N34" s="16"/>
      <c r="O34" s="48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6"/>
    </row>
    <row r="35" spans="1:255" ht="16" customHeight="1">
      <c r="A35" s="133"/>
      <c r="B35" s="269"/>
      <c r="C35" s="270" t="str">
        <f>C49</f>
        <v>D</v>
      </c>
      <c r="D35" s="271">
        <v>0.02</v>
      </c>
      <c r="E35" s="272"/>
      <c r="F35" s="221"/>
      <c r="G35" s="222"/>
      <c r="H35" s="223">
        <f>INT($D35*(D41+H29))</f>
        <v>0</v>
      </c>
      <c r="I35" s="224">
        <f t="shared" si="2"/>
        <v>0</v>
      </c>
      <c r="J35" s="224">
        <f t="shared" si="2"/>
        <v>0</v>
      </c>
      <c r="K35" s="224">
        <f t="shared" si="2"/>
        <v>0</v>
      </c>
      <c r="L35" s="224">
        <f t="shared" si="2"/>
        <v>0</v>
      </c>
      <c r="M35" s="14"/>
      <c r="N35" s="16"/>
      <c r="O35" s="48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6"/>
    </row>
    <row r="36" spans="1:255" ht="16" customHeight="1">
      <c r="A36" s="133"/>
      <c r="B36" s="269"/>
      <c r="C36" s="220"/>
      <c r="D36" s="273"/>
      <c r="E36" s="267"/>
      <c r="F36" s="221"/>
      <c r="G36" s="222"/>
      <c r="H36" s="223"/>
      <c r="I36" s="224"/>
      <c r="J36" s="224"/>
      <c r="K36" s="224"/>
      <c r="L36" s="224"/>
      <c r="M36" s="14"/>
      <c r="N36" s="16"/>
      <c r="O36" s="48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6"/>
    </row>
    <row r="37" spans="1:255" ht="16" customHeight="1">
      <c r="A37" s="133"/>
      <c r="B37" s="219" t="s">
        <v>83</v>
      </c>
      <c r="C37" s="220"/>
      <c r="D37" s="264" t="s">
        <v>220</v>
      </c>
      <c r="E37" s="267"/>
      <c r="F37" s="221"/>
      <c r="G37" s="222"/>
      <c r="H37" s="223"/>
      <c r="I37" s="224"/>
      <c r="J37" s="224"/>
      <c r="K37" s="224"/>
      <c r="L37" s="224"/>
      <c r="M37" s="14"/>
      <c r="N37" s="16"/>
      <c r="O37" s="48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6"/>
    </row>
    <row r="38" spans="1:255" ht="16" customHeight="1">
      <c r="A38" s="133"/>
      <c r="B38" s="269"/>
      <c r="C38" s="270" t="str">
        <f>C46</f>
        <v>A</v>
      </c>
      <c r="D38" s="274">
        <f>D42*D26</f>
        <v>535.71428571428578</v>
      </c>
      <c r="E38" s="272"/>
      <c r="F38" s="221"/>
      <c r="G38" s="233" t="str">
        <f>"Active Subscribers - "&amp;C38</f>
        <v>Active Subscribers - A</v>
      </c>
      <c r="H38" s="223">
        <f>D38+H26-H32</f>
        <v>1947.7142857142858</v>
      </c>
      <c r="I38" s="224">
        <f t="shared" ref="I38:L41" si="3">H38+I26-I32</f>
        <v>3973.7142857142858</v>
      </c>
      <c r="J38" s="224">
        <f t="shared" si="3"/>
        <v>7043.7142857142862</v>
      </c>
      <c r="K38" s="224">
        <f t="shared" si="3"/>
        <v>11917.714285714286</v>
      </c>
      <c r="L38" s="224">
        <f t="shared" si="3"/>
        <v>19953.714285714286</v>
      </c>
      <c r="M38" s="275"/>
      <c r="N38" s="276"/>
      <c r="O38" s="48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6"/>
    </row>
    <row r="39" spans="1:255" ht="16" customHeight="1">
      <c r="A39" s="133"/>
      <c r="B39" s="269"/>
      <c r="C39" s="270" t="str">
        <f>C47</f>
        <v>B</v>
      </c>
      <c r="D39" s="274">
        <f>D27*D42</f>
        <v>178.57142857142858</v>
      </c>
      <c r="E39" s="272"/>
      <c r="F39" s="221"/>
      <c r="G39" s="233" t="str">
        <f>"Active Subscribers - "&amp;C39</f>
        <v>Active Subscribers - B</v>
      </c>
      <c r="H39" s="223">
        <f>D39+H27-H33</f>
        <v>648.57142857142856</v>
      </c>
      <c r="I39" s="224">
        <f t="shared" si="3"/>
        <v>1323.5714285714284</v>
      </c>
      <c r="J39" s="224">
        <f t="shared" si="3"/>
        <v>2347.5714285714284</v>
      </c>
      <c r="K39" s="224">
        <f t="shared" si="3"/>
        <v>3971.5714285714284</v>
      </c>
      <c r="L39" s="224">
        <f t="shared" si="3"/>
        <v>6650.5714285714284</v>
      </c>
      <c r="M39" s="14"/>
      <c r="N39" s="16"/>
      <c r="O39" s="48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6"/>
    </row>
    <row r="40" spans="1:255" ht="16" customHeight="1">
      <c r="A40" s="133"/>
      <c r="B40" s="269"/>
      <c r="C40" s="270" t="str">
        <f>C48</f>
        <v>C</v>
      </c>
      <c r="D40" s="274">
        <v>0</v>
      </c>
      <c r="E40" s="272"/>
      <c r="F40" s="221"/>
      <c r="G40" s="233" t="str">
        <f>"Active Subscribers - "&amp;C40</f>
        <v>Active Subscribers - C</v>
      </c>
      <c r="H40" s="223">
        <f>D40+H28-H34</f>
        <v>0</v>
      </c>
      <c r="I40" s="224">
        <f t="shared" si="3"/>
        <v>0</v>
      </c>
      <c r="J40" s="224">
        <f t="shared" si="3"/>
        <v>0</v>
      </c>
      <c r="K40" s="224">
        <f t="shared" si="3"/>
        <v>0</v>
      </c>
      <c r="L40" s="224">
        <f t="shared" si="3"/>
        <v>0</v>
      </c>
      <c r="M40" s="14"/>
      <c r="N40" s="16"/>
      <c r="O40" s="48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6"/>
    </row>
    <row r="41" spans="1:255" ht="16" customHeight="1">
      <c r="A41" s="133"/>
      <c r="B41" s="269"/>
      <c r="C41" s="270" t="str">
        <f>C49</f>
        <v>D</v>
      </c>
      <c r="D41" s="274">
        <v>0</v>
      </c>
      <c r="E41" s="272"/>
      <c r="F41" s="221"/>
      <c r="G41" s="233" t="str">
        <f>"Active Subscribers - "&amp;C41</f>
        <v>Active Subscribers - D</v>
      </c>
      <c r="H41" s="223">
        <f>D41+H29-H35</f>
        <v>0</v>
      </c>
      <c r="I41" s="224">
        <f t="shared" si="3"/>
        <v>0</v>
      </c>
      <c r="J41" s="224">
        <f t="shared" si="3"/>
        <v>0</v>
      </c>
      <c r="K41" s="224">
        <f t="shared" si="3"/>
        <v>0</v>
      </c>
      <c r="L41" s="224">
        <f t="shared" si="3"/>
        <v>0</v>
      </c>
      <c r="M41" s="14"/>
      <c r="N41" s="16"/>
      <c r="O41" s="48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6"/>
    </row>
    <row r="42" spans="1:255" ht="16" customHeight="1">
      <c r="A42" s="133"/>
      <c r="B42" s="269"/>
      <c r="C42" s="270" t="s">
        <v>84</v>
      </c>
      <c r="D42" s="277">
        <f>300000/(35*12)</f>
        <v>714.28571428571433</v>
      </c>
      <c r="E42" s="272"/>
      <c r="F42" s="221"/>
      <c r="G42" s="233" t="str">
        <f>"Active Subscribers - "&amp;C42</f>
        <v>Active Subscribers - All Plans</v>
      </c>
      <c r="H42" s="278">
        <f>H38+H39+H40+H41</f>
        <v>2596.2857142857142</v>
      </c>
      <c r="I42" s="278">
        <f>I38+I39+I40+I41</f>
        <v>5297.2857142857138</v>
      </c>
      <c r="J42" s="278">
        <f>J38+J39+J40+J41</f>
        <v>9391.2857142857138</v>
      </c>
      <c r="K42" s="278">
        <f>K38+K39+K40+K41</f>
        <v>15889.285714285714</v>
      </c>
      <c r="L42" s="279">
        <f>L38+L39+L40+L41</f>
        <v>26604.285714285714</v>
      </c>
      <c r="M42" s="280"/>
      <c r="N42" s="16"/>
      <c r="O42" s="48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6"/>
    </row>
    <row r="43" spans="1:255" ht="16" customHeight="1">
      <c r="A43" s="133"/>
      <c r="B43" s="269"/>
      <c r="C43" s="220"/>
      <c r="D43" s="221"/>
      <c r="E43" s="267"/>
      <c r="F43" s="267"/>
      <c r="G43" s="222"/>
      <c r="H43" s="223"/>
      <c r="I43" s="224"/>
      <c r="J43" s="224"/>
      <c r="K43" s="224"/>
      <c r="L43" s="224"/>
      <c r="M43" s="14"/>
      <c r="N43" s="16"/>
      <c r="O43" s="48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6"/>
    </row>
    <row r="44" spans="1:255" ht="16" customHeight="1">
      <c r="A44" s="133"/>
      <c r="B44" s="219" t="s">
        <v>85</v>
      </c>
      <c r="C44" s="220"/>
      <c r="D44" s="221"/>
      <c r="E44" s="267"/>
      <c r="F44" s="267"/>
      <c r="G44" s="222"/>
      <c r="H44" s="223"/>
      <c r="I44" s="224"/>
      <c r="J44" s="224"/>
      <c r="K44" s="224"/>
      <c r="L44" s="224"/>
      <c r="M44" s="14"/>
      <c r="N44" s="16"/>
      <c r="O44" s="48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6"/>
    </row>
    <row r="45" spans="1:255" ht="16" customHeight="1">
      <c r="A45" s="133"/>
      <c r="B45" s="269"/>
      <c r="C45" s="220"/>
      <c r="D45" s="264" t="s">
        <v>86</v>
      </c>
      <c r="E45" s="267"/>
      <c r="F45" s="267"/>
      <c r="G45" s="222"/>
      <c r="H45" s="223"/>
      <c r="I45" s="224"/>
      <c r="J45" s="224"/>
      <c r="K45" s="224"/>
      <c r="L45" s="224"/>
      <c r="M45" s="281"/>
      <c r="N45" s="16"/>
      <c r="O45" s="48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6"/>
    </row>
    <row r="46" spans="1:255" ht="16" customHeight="1">
      <c r="A46" s="133"/>
      <c r="B46" s="269"/>
      <c r="C46" s="270" t="str">
        <f>C26</f>
        <v>A</v>
      </c>
      <c r="D46" s="282">
        <v>14.99</v>
      </c>
      <c r="E46" s="267"/>
      <c r="F46" s="267"/>
      <c r="G46" s="222"/>
      <c r="H46" s="234">
        <f>($D46*12)*H38</f>
        <v>350354.84571428574</v>
      </c>
      <c r="I46" s="234">
        <f t="shared" ref="I46:L46" si="4">($D46*12)*I38</f>
        <v>714791.72571428574</v>
      </c>
      <c r="J46" s="234">
        <f t="shared" si="4"/>
        <v>1267023.3257142857</v>
      </c>
      <c r="K46" s="234">
        <f t="shared" si="4"/>
        <v>2143758.4457142856</v>
      </c>
      <c r="L46" s="234">
        <f t="shared" si="4"/>
        <v>3589274.1257142858</v>
      </c>
      <c r="M46" s="491"/>
      <c r="N46" s="16"/>
      <c r="O46" s="48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6"/>
    </row>
    <row r="47" spans="1:255" ht="16" customHeight="1">
      <c r="A47" s="133"/>
      <c r="B47" s="269"/>
      <c r="C47" s="270" t="str">
        <f>C27</f>
        <v>B</v>
      </c>
      <c r="D47" s="282">
        <v>80</v>
      </c>
      <c r="E47" s="267"/>
      <c r="F47" s="267"/>
      <c r="G47" s="222"/>
      <c r="H47" s="234">
        <f t="shared" ref="H47:L49" si="5">($D47*12)*H39</f>
        <v>622628.57142857136</v>
      </c>
      <c r="I47" s="234">
        <f t="shared" si="5"/>
        <v>1270628.5714285714</v>
      </c>
      <c r="J47" s="234">
        <f t="shared" si="5"/>
        <v>2253668.5714285714</v>
      </c>
      <c r="K47" s="234">
        <f t="shared" si="5"/>
        <v>3812708.5714285714</v>
      </c>
      <c r="L47" s="234">
        <f t="shared" si="5"/>
        <v>6384548.5714285709</v>
      </c>
      <c r="M47" s="281"/>
      <c r="N47" s="16"/>
      <c r="O47" s="48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6"/>
    </row>
    <row r="48" spans="1:255" ht="16" customHeight="1">
      <c r="A48" s="133"/>
      <c r="B48" s="269"/>
      <c r="C48" s="270" t="str">
        <f>C28</f>
        <v>C</v>
      </c>
      <c r="D48" s="282">
        <v>0</v>
      </c>
      <c r="E48" s="267"/>
      <c r="F48" s="267"/>
      <c r="G48" s="222"/>
      <c r="H48" s="234">
        <f t="shared" si="5"/>
        <v>0</v>
      </c>
      <c r="I48" s="234">
        <f t="shared" si="5"/>
        <v>0</v>
      </c>
      <c r="J48" s="234">
        <f t="shared" si="5"/>
        <v>0</v>
      </c>
      <c r="K48" s="234">
        <f t="shared" si="5"/>
        <v>0</v>
      </c>
      <c r="L48" s="234">
        <f t="shared" si="5"/>
        <v>0</v>
      </c>
      <c r="M48" s="281"/>
      <c r="N48" s="16"/>
      <c r="O48" s="48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6"/>
    </row>
    <row r="49" spans="1:255" ht="16" customHeight="1">
      <c r="A49" s="133"/>
      <c r="B49" s="269"/>
      <c r="C49" s="270" t="str">
        <f>C29</f>
        <v>D</v>
      </c>
      <c r="D49" s="282">
        <v>0</v>
      </c>
      <c r="E49" s="267"/>
      <c r="F49" s="267"/>
      <c r="G49" s="222"/>
      <c r="H49" s="234">
        <f t="shared" si="5"/>
        <v>0</v>
      </c>
      <c r="I49" s="234">
        <f t="shared" si="5"/>
        <v>0</v>
      </c>
      <c r="J49" s="234">
        <f t="shared" si="5"/>
        <v>0</v>
      </c>
      <c r="K49" s="234">
        <f t="shared" si="5"/>
        <v>0</v>
      </c>
      <c r="L49" s="234">
        <f t="shared" si="5"/>
        <v>0</v>
      </c>
      <c r="M49" s="14"/>
      <c r="N49" s="16"/>
      <c r="O49" s="48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6"/>
    </row>
    <row r="50" spans="1:255" ht="17" customHeight="1">
      <c r="A50" s="133"/>
      <c r="B50" s="284"/>
      <c r="C50" s="285"/>
      <c r="D50" s="228"/>
      <c r="E50" s="322"/>
      <c r="F50" s="228"/>
      <c r="G50" s="288"/>
      <c r="H50" s="225"/>
      <c r="I50" s="226"/>
      <c r="J50" s="226"/>
      <c r="K50" s="226"/>
      <c r="L50" s="226"/>
      <c r="M50" s="14"/>
      <c r="N50" s="16"/>
      <c r="O50" s="48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6"/>
    </row>
    <row r="51" spans="1:255" ht="17" customHeight="1">
      <c r="A51" s="133"/>
      <c r="B51" s="175" t="str">
        <f>"Total "&amp;B5&amp;" Revenue"</f>
        <v>Total Subscriptions Revenue</v>
      </c>
      <c r="C51" s="289"/>
      <c r="D51" s="289"/>
      <c r="E51" s="289"/>
      <c r="F51" s="289"/>
      <c r="G51" s="290"/>
      <c r="H51" s="291">
        <f>SUM(H46:H49)</f>
        <v>972983.4171428571</v>
      </c>
      <c r="I51" s="180">
        <f>SUM(I46:I49)</f>
        <v>1985420.2971428572</v>
      </c>
      <c r="J51" s="180">
        <f>SUM(J46:J49)</f>
        <v>3520691.8971428573</v>
      </c>
      <c r="K51" s="180">
        <f>SUM(K46:K49)</f>
        <v>5956467.0171428565</v>
      </c>
      <c r="L51" s="180">
        <f>SUM(L46:L49)</f>
        <v>9973822.6971428562</v>
      </c>
      <c r="M51" s="14"/>
      <c r="N51" s="16"/>
      <c r="O51" s="48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6"/>
    </row>
    <row r="52" spans="1:255" ht="16" customHeight="1">
      <c r="A52" s="206"/>
      <c r="B52" s="287"/>
      <c r="C52" s="292"/>
      <c r="D52" s="287"/>
      <c r="E52" s="287"/>
      <c r="F52" s="287"/>
      <c r="G52" s="287"/>
      <c r="H52" s="293"/>
      <c r="I52" s="293"/>
      <c r="J52" s="293"/>
      <c r="K52" s="293"/>
      <c r="L52" s="293"/>
      <c r="M52" s="15"/>
      <c r="N52" s="16"/>
      <c r="O52" s="48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6"/>
    </row>
    <row r="53" spans="1:255" ht="20" customHeight="1">
      <c r="A53" s="210"/>
      <c r="B53" s="211" t="s">
        <v>240</v>
      </c>
      <c r="C53" s="201"/>
      <c r="D53" s="201"/>
      <c r="E53" s="201"/>
      <c r="F53" s="201"/>
      <c r="G53" s="202"/>
      <c r="H53" s="212" t="str">
        <f t="shared" si="0"/>
        <v>Year 1</v>
      </c>
      <c r="I53" s="212" t="str">
        <f>I$3</f>
        <v>Year 2</v>
      </c>
      <c r="J53" s="212" t="str">
        <f>J$3</f>
        <v>Year 3</v>
      </c>
      <c r="K53" s="212" t="str">
        <f>K$3</f>
        <v>Year 4</v>
      </c>
      <c r="L53" s="213" t="str">
        <f>L$3</f>
        <v>Year 5</v>
      </c>
      <c r="M53" s="14"/>
      <c r="N53" s="16"/>
      <c r="O53" s="48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6"/>
    </row>
    <row r="54" spans="1:255" ht="16" customHeight="1">
      <c r="A54" s="133"/>
      <c r="B54" s="214"/>
      <c r="C54" s="215"/>
      <c r="D54" s="215"/>
      <c r="E54" s="182"/>
      <c r="F54" s="182"/>
      <c r="G54" s="216"/>
      <c r="H54" s="217"/>
      <c r="I54" s="218"/>
      <c r="J54" s="218"/>
      <c r="K54" s="218"/>
      <c r="L54" s="218"/>
      <c r="M54" s="14"/>
      <c r="N54" s="16"/>
      <c r="O54" s="48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6"/>
    </row>
    <row r="55" spans="1:255" ht="16" customHeight="1">
      <c r="A55" s="133"/>
      <c r="B55" s="219" t="s">
        <v>221</v>
      </c>
      <c r="C55" s="35"/>
      <c r="D55" s="294" t="s">
        <v>87</v>
      </c>
      <c r="E55" s="15"/>
      <c r="F55" s="15"/>
      <c r="G55" s="295"/>
      <c r="H55" s="296"/>
      <c r="I55" s="297"/>
      <c r="J55" s="297"/>
      <c r="K55" s="297"/>
      <c r="L55" s="297"/>
      <c r="M55" s="14"/>
      <c r="N55" s="16"/>
      <c r="O55" s="48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6"/>
    </row>
    <row r="56" spans="1:255" ht="16" customHeight="1">
      <c r="A56" s="133"/>
      <c r="B56" s="298"/>
      <c r="C56" s="253" t="s">
        <v>88</v>
      </c>
      <c r="D56" s="254">
        <v>2</v>
      </c>
      <c r="E56" s="230"/>
      <c r="F56" s="15"/>
      <c r="G56" s="295"/>
      <c r="H56" s="225">
        <f>D56*(1+H57)</f>
        <v>2.8</v>
      </c>
      <c r="I56" s="226">
        <f>H56*(1+I57)</f>
        <v>3.9199999999999995</v>
      </c>
      <c r="J56" s="226">
        <f>I56*(1+J57)</f>
        <v>5.4879999999999987</v>
      </c>
      <c r="K56" s="226">
        <f>J56*(1+K57)</f>
        <v>7.6831999999999976</v>
      </c>
      <c r="L56" s="226">
        <f>K56*(1+L57)</f>
        <v>10.756479999999996</v>
      </c>
      <c r="M56" s="14"/>
      <c r="N56" s="16"/>
      <c r="O56" s="48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6"/>
    </row>
    <row r="57" spans="1:255" ht="16" customHeight="1">
      <c r="A57" s="133"/>
      <c r="B57" s="14"/>
      <c r="C57" s="227" t="s">
        <v>89</v>
      </c>
      <c r="D57" s="15"/>
      <c r="E57" s="15"/>
      <c r="F57" s="15"/>
      <c r="G57" s="295"/>
      <c r="H57" s="229">
        <v>0.4</v>
      </c>
      <c r="I57" s="229">
        <v>0.4</v>
      </c>
      <c r="J57" s="229">
        <v>0.4</v>
      </c>
      <c r="K57" s="229">
        <v>0.4</v>
      </c>
      <c r="L57" s="229">
        <v>0.4</v>
      </c>
      <c r="M57" s="230"/>
      <c r="N57" s="16"/>
      <c r="O57" s="48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6"/>
    </row>
    <row r="58" spans="1:255" ht="16" customHeight="1">
      <c r="A58" s="133"/>
      <c r="B58" s="14"/>
      <c r="C58" s="220"/>
      <c r="D58" s="294" t="s">
        <v>90</v>
      </c>
      <c r="E58" s="15"/>
      <c r="F58" s="221"/>
      <c r="G58" s="222"/>
      <c r="H58" s="223"/>
      <c r="I58" s="224"/>
      <c r="J58" s="224"/>
      <c r="K58" s="224"/>
      <c r="L58" s="224"/>
      <c r="M58" s="14"/>
      <c r="N58" s="16"/>
      <c r="O58" s="48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6"/>
    </row>
    <row r="59" spans="1:255" ht="16" customHeight="1">
      <c r="A59" s="133"/>
      <c r="B59" s="14"/>
      <c r="C59" s="270" t="s">
        <v>91</v>
      </c>
      <c r="D59" s="299">
        <v>0.01</v>
      </c>
      <c r="E59" s="272"/>
      <c r="F59" s="221"/>
      <c r="G59" s="222"/>
      <c r="H59" s="223">
        <f>INT($D59*D62)</f>
        <v>0</v>
      </c>
      <c r="I59" s="224">
        <f>INT($D59*H62)</f>
        <v>0</v>
      </c>
      <c r="J59" s="224">
        <f>INT($D59*I62)</f>
        <v>0</v>
      </c>
      <c r="K59" s="224">
        <f>INT($D59*J62)</f>
        <v>0</v>
      </c>
      <c r="L59" s="224">
        <f>INT($D59*K62)</f>
        <v>0</v>
      </c>
      <c r="M59" s="300"/>
      <c r="N59" s="301"/>
      <c r="O59" s="48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6"/>
    </row>
    <row r="60" spans="1:255" ht="16" customHeight="1">
      <c r="A60" s="133"/>
      <c r="B60" s="14"/>
      <c r="C60" s="220"/>
      <c r="D60" s="221"/>
      <c r="E60" s="221"/>
      <c r="F60" s="221"/>
      <c r="G60" s="222"/>
      <c r="H60" s="248"/>
      <c r="I60" s="249"/>
      <c r="J60" s="249"/>
      <c r="K60" s="249"/>
      <c r="L60" s="249"/>
      <c r="M60" s="14"/>
      <c r="N60" s="16"/>
      <c r="O60" s="48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6"/>
    </row>
    <row r="61" spans="1:255" ht="16" customHeight="1">
      <c r="A61" s="133"/>
      <c r="B61" s="14"/>
      <c r="C61" s="35"/>
      <c r="D61" s="294" t="s">
        <v>220</v>
      </c>
      <c r="E61" s="15"/>
      <c r="F61" s="15"/>
      <c r="G61" s="295"/>
      <c r="H61" s="223"/>
      <c r="I61" s="224"/>
      <c r="J61" s="224"/>
      <c r="K61" s="224"/>
      <c r="L61" s="224"/>
      <c r="M61" s="14"/>
      <c r="N61" s="16"/>
      <c r="O61" s="48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6"/>
    </row>
    <row r="62" spans="1:255" ht="16" customHeight="1">
      <c r="A62" s="133"/>
      <c r="B62" s="14"/>
      <c r="C62" s="253" t="s">
        <v>92</v>
      </c>
      <c r="D62" s="254">
        <v>0</v>
      </c>
      <c r="E62" s="230"/>
      <c r="F62" s="15"/>
      <c r="G62" s="295"/>
      <c r="H62" s="223">
        <f>D62+H56-H59</f>
        <v>2.8</v>
      </c>
      <c r="I62" s="224">
        <f>H62+I56-I59</f>
        <v>6.7199999999999989</v>
      </c>
      <c r="J62" s="224">
        <f>I62+J56-J59</f>
        <v>12.207999999999998</v>
      </c>
      <c r="K62" s="224">
        <f>J62+K56-K59</f>
        <v>19.891199999999998</v>
      </c>
      <c r="L62" s="224">
        <f>K62+L56-L59</f>
        <v>30.647679999999994</v>
      </c>
      <c r="M62" s="14"/>
      <c r="N62" s="16"/>
      <c r="O62" s="48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6"/>
    </row>
    <row r="63" spans="1:255" ht="16" customHeight="1">
      <c r="A63" s="133"/>
      <c r="B63" s="14"/>
      <c r="C63" s="220"/>
      <c r="D63" s="221"/>
      <c r="E63" s="221"/>
      <c r="F63" s="221"/>
      <c r="G63" s="222"/>
      <c r="H63" s="248"/>
      <c r="I63" s="249"/>
      <c r="J63" s="249"/>
      <c r="K63" s="249"/>
      <c r="L63" s="249"/>
      <c r="M63" s="14"/>
      <c r="N63" s="16"/>
      <c r="O63" s="48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6"/>
    </row>
    <row r="64" spans="1:255" ht="16" customHeight="1">
      <c r="A64" s="133"/>
      <c r="B64" s="219" t="s">
        <v>28</v>
      </c>
      <c r="C64" s="220"/>
      <c r="D64" s="228"/>
      <c r="E64" s="221"/>
      <c r="F64" s="221"/>
      <c r="G64" s="222"/>
      <c r="H64" s="248"/>
      <c r="I64" s="249"/>
      <c r="J64" s="249"/>
      <c r="K64" s="249"/>
      <c r="L64" s="249"/>
      <c r="M64" s="14"/>
      <c r="N64" s="16"/>
      <c r="O64" s="4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6"/>
    </row>
    <row r="65" spans="1:255" ht="16" customHeight="1">
      <c r="A65" s="133"/>
      <c r="B65" s="14"/>
      <c r="C65" s="270" t="s">
        <v>93</v>
      </c>
      <c r="D65" s="283">
        <v>25000</v>
      </c>
      <c r="E65" s="232"/>
      <c r="F65" s="221"/>
      <c r="G65" s="222"/>
      <c r="H65" s="234">
        <f>H62*$D65</f>
        <v>70000</v>
      </c>
      <c r="I65" s="235">
        <f>I62*$D65</f>
        <v>167999.99999999997</v>
      </c>
      <c r="J65" s="235">
        <f>J62*$D65</f>
        <v>305199.99999999994</v>
      </c>
      <c r="K65" s="235">
        <f>K62*$D65</f>
        <v>497279.99999999994</v>
      </c>
      <c r="L65" s="235">
        <f>L62*$D65</f>
        <v>766191.99999999988</v>
      </c>
      <c r="M65" s="14"/>
      <c r="N65" s="16"/>
      <c r="O65" s="48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6"/>
    </row>
    <row r="66" spans="1:255" ht="17" customHeight="1">
      <c r="A66" s="133"/>
      <c r="B66" s="171"/>
      <c r="C66" s="285"/>
      <c r="D66" s="228"/>
      <c r="E66" s="228"/>
      <c r="F66" s="228"/>
      <c r="G66" s="288"/>
      <c r="H66" s="302"/>
      <c r="I66" s="191"/>
      <c r="J66" s="191"/>
      <c r="K66" s="191"/>
      <c r="L66" s="191"/>
      <c r="M66" s="14"/>
      <c r="N66" s="16"/>
      <c r="O66" s="48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6"/>
    </row>
    <row r="67" spans="1:255" ht="17" customHeight="1">
      <c r="A67" s="133"/>
      <c r="B67" s="175" t="str">
        <f>"Total "&amp;B53&amp;" Revenue"</f>
        <v>Total Large Recurring Contracts Revenue</v>
      </c>
      <c r="C67" s="289"/>
      <c r="D67" s="289"/>
      <c r="E67" s="289"/>
      <c r="F67" s="289"/>
      <c r="G67" s="290"/>
      <c r="H67" s="291">
        <f>H65</f>
        <v>70000</v>
      </c>
      <c r="I67" s="180">
        <f>I65</f>
        <v>167999.99999999997</v>
      </c>
      <c r="J67" s="180">
        <f>J65</f>
        <v>305199.99999999994</v>
      </c>
      <c r="K67" s="180">
        <f>K65</f>
        <v>497279.99999999994</v>
      </c>
      <c r="L67" s="180">
        <f>L65</f>
        <v>766191.99999999988</v>
      </c>
      <c r="M67" s="14"/>
      <c r="N67" s="16"/>
      <c r="O67" s="48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6"/>
    </row>
    <row r="68" spans="1:255" ht="17" customHeight="1">
      <c r="A68" s="48"/>
      <c r="B68" s="303"/>
      <c r="C68" s="303"/>
      <c r="D68" s="303"/>
      <c r="E68" s="303"/>
      <c r="F68" s="303"/>
      <c r="G68" s="304"/>
      <c r="H68" s="305"/>
      <c r="I68" s="306"/>
      <c r="J68" s="306"/>
      <c r="K68" s="306"/>
      <c r="L68" s="306"/>
      <c r="M68" s="15"/>
      <c r="N68" s="16"/>
      <c r="O68" s="48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6"/>
    </row>
    <row r="69" spans="1:255" ht="20" customHeight="1">
      <c r="A69" s="210"/>
      <c r="B69" s="211" t="s">
        <v>241</v>
      </c>
      <c r="C69" s="201"/>
      <c r="D69" s="201"/>
      <c r="E69" s="201"/>
      <c r="F69" s="201"/>
      <c r="G69" s="202"/>
      <c r="H69" s="212" t="str">
        <f t="shared" ref="H69:H100" si="6">H$3</f>
        <v>Year 1</v>
      </c>
      <c r="I69" s="212" t="str">
        <f>I$3</f>
        <v>Year 2</v>
      </c>
      <c r="J69" s="212" t="str">
        <f>J$3</f>
        <v>Year 3</v>
      </c>
      <c r="K69" s="212" t="str">
        <f>K$3</f>
        <v>Year 4</v>
      </c>
      <c r="L69" s="213" t="str">
        <f>L$3</f>
        <v>Year 5</v>
      </c>
      <c r="M69" s="14"/>
      <c r="N69" s="16"/>
      <c r="O69" s="48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6"/>
    </row>
    <row r="70" spans="1:255" ht="16" customHeight="1">
      <c r="A70" s="133"/>
      <c r="B70" s="214"/>
      <c r="C70" s="215"/>
      <c r="D70" s="215"/>
      <c r="E70" s="182"/>
      <c r="F70" s="182"/>
      <c r="G70" s="216"/>
      <c r="H70" s="217"/>
      <c r="I70" s="218"/>
      <c r="J70" s="218"/>
      <c r="K70" s="218"/>
      <c r="L70" s="218"/>
      <c r="M70" s="14"/>
      <c r="N70" s="16"/>
      <c r="O70" s="48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6"/>
    </row>
    <row r="71" spans="1:255" ht="16" customHeight="1">
      <c r="A71" s="133"/>
      <c r="B71" s="219" t="s">
        <v>66</v>
      </c>
      <c r="C71" s="220"/>
      <c r="D71" s="221"/>
      <c r="E71" s="221"/>
      <c r="F71" s="221"/>
      <c r="G71" s="222"/>
      <c r="H71" s="223"/>
      <c r="I71" s="224"/>
      <c r="J71" s="224"/>
      <c r="K71" s="224"/>
      <c r="L71" s="224"/>
      <c r="M71" s="14"/>
      <c r="N71" s="16"/>
      <c r="O71" s="48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6"/>
    </row>
    <row r="72" spans="1:255" ht="16" customHeight="1">
      <c r="A72" s="133"/>
      <c r="B72" s="14"/>
      <c r="C72" s="35"/>
      <c r="D72" s="221"/>
      <c r="E72" s="221"/>
      <c r="F72" s="221"/>
      <c r="G72" s="222"/>
      <c r="H72" s="225"/>
      <c r="I72" s="226"/>
      <c r="J72" s="226"/>
      <c r="K72" s="226"/>
      <c r="L72" s="226"/>
      <c r="M72" s="14"/>
      <c r="N72" s="16"/>
      <c r="O72" s="48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6"/>
    </row>
    <row r="73" spans="1:255" ht="16" customHeight="1">
      <c r="A73" s="133"/>
      <c r="B73" s="14"/>
      <c r="C73" s="227" t="s">
        <v>67</v>
      </c>
      <c r="D73" s="228"/>
      <c r="E73" s="221"/>
      <c r="F73" s="221"/>
      <c r="G73" s="222"/>
      <c r="H73" s="229">
        <v>0.4</v>
      </c>
      <c r="I73" s="229">
        <v>0.4</v>
      </c>
      <c r="J73" s="229">
        <v>0.4</v>
      </c>
      <c r="K73" s="229">
        <v>0.4</v>
      </c>
      <c r="L73" s="229">
        <v>0.4</v>
      </c>
      <c r="M73" s="230"/>
      <c r="N73" s="16"/>
      <c r="O73" s="48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6"/>
    </row>
    <row r="74" spans="1:255" ht="16" customHeight="1">
      <c r="A74" s="133"/>
      <c r="B74" s="14"/>
      <c r="C74" s="227" t="s">
        <v>68</v>
      </c>
      <c r="D74" s="231">
        <v>40000</v>
      </c>
      <c r="E74" s="232"/>
      <c r="F74" s="221"/>
      <c r="G74" s="233" t="s">
        <v>69</v>
      </c>
      <c r="H74" s="234">
        <f>D74*(1+H73)</f>
        <v>56000</v>
      </c>
      <c r="I74" s="235">
        <f>H74*(1+I73)</f>
        <v>78400</v>
      </c>
      <c r="J74" s="235">
        <f>I74*(1+J73)</f>
        <v>109760</v>
      </c>
      <c r="K74" s="235">
        <f>J74*(1+K73)</f>
        <v>153664</v>
      </c>
      <c r="L74" s="236">
        <f>K74*(1+L73)</f>
        <v>215129.59999999998</v>
      </c>
      <c r="M74" s="230"/>
      <c r="N74" s="16"/>
      <c r="O74" s="48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6"/>
    </row>
    <row r="75" spans="1:255" ht="16" customHeight="1">
      <c r="A75" s="133"/>
      <c r="B75" s="14"/>
      <c r="C75" s="237" t="s">
        <v>70</v>
      </c>
      <c r="D75" s="238">
        <v>1</v>
      </c>
      <c r="E75" s="239"/>
      <c r="F75" s="240"/>
      <c r="G75" s="241"/>
      <c r="H75" s="242"/>
      <c r="I75" s="243"/>
      <c r="J75" s="243"/>
      <c r="K75" s="243"/>
      <c r="L75" s="243"/>
      <c r="M75" s="244"/>
      <c r="N75" s="16"/>
      <c r="O75" s="48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6"/>
    </row>
    <row r="76" spans="1:255" ht="16" customHeight="1">
      <c r="A76" s="133"/>
      <c r="B76" s="14"/>
      <c r="C76" s="189" t="s">
        <v>71</v>
      </c>
      <c r="D76" s="135"/>
      <c r="E76" s="135"/>
      <c r="F76" s="135"/>
      <c r="G76" s="245"/>
      <c r="H76" s="246">
        <f>H74/$D75</f>
        <v>56000</v>
      </c>
      <c r="I76" s="247">
        <f>I74/$D75</f>
        <v>78400</v>
      </c>
      <c r="J76" s="247">
        <f>J74/$D75</f>
        <v>109760</v>
      </c>
      <c r="K76" s="247">
        <f>K74/$D75</f>
        <v>153664</v>
      </c>
      <c r="L76" s="247">
        <f>L74/$D75</f>
        <v>215129.59999999998</v>
      </c>
      <c r="M76" s="244"/>
      <c r="N76" s="16"/>
      <c r="O76" s="48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6"/>
    </row>
    <row r="77" spans="1:255" ht="16" customHeight="1">
      <c r="A77" s="133"/>
      <c r="B77" s="14"/>
      <c r="C77" s="35"/>
      <c r="D77" s="35"/>
      <c r="E77" s="15"/>
      <c r="F77" s="15"/>
      <c r="G77" s="222"/>
      <c r="H77" s="248"/>
      <c r="I77" s="249"/>
      <c r="J77" s="249"/>
      <c r="K77" s="249"/>
      <c r="L77" s="249"/>
      <c r="M77" s="244"/>
      <c r="N77" s="16"/>
      <c r="O77" s="48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6"/>
    </row>
    <row r="78" spans="1:255" ht="16" customHeight="1">
      <c r="A78" s="133"/>
      <c r="B78" s="219" t="s">
        <v>72</v>
      </c>
      <c r="C78" s="35"/>
      <c r="D78" s="35"/>
      <c r="E78" s="15"/>
      <c r="F78" s="15"/>
      <c r="G78" s="222"/>
      <c r="H78" s="248"/>
      <c r="I78" s="249"/>
      <c r="J78" s="249"/>
      <c r="K78" s="249"/>
      <c r="L78" s="249"/>
      <c r="M78" s="244"/>
      <c r="N78" s="16"/>
      <c r="O78" s="48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6"/>
    </row>
    <row r="79" spans="1:255" ht="16" customHeight="1">
      <c r="A79" s="133"/>
      <c r="B79" s="14"/>
      <c r="C79" s="35"/>
      <c r="D79" s="35"/>
      <c r="E79" s="15"/>
      <c r="F79" s="15"/>
      <c r="G79" s="222"/>
      <c r="H79" s="250"/>
      <c r="I79" s="251"/>
      <c r="J79" s="251"/>
      <c r="K79" s="251"/>
      <c r="L79" s="251"/>
      <c r="M79" s="244"/>
      <c r="N79" s="16"/>
      <c r="O79" s="48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6"/>
    </row>
    <row r="80" spans="1:255" ht="16" customHeight="1">
      <c r="A80" s="133"/>
      <c r="B80" s="14"/>
      <c r="C80" s="504" t="s">
        <v>214</v>
      </c>
      <c r="D80" s="252"/>
      <c r="E80" s="15"/>
      <c r="F80" s="15"/>
      <c r="G80" s="222"/>
      <c r="H80" s="229">
        <v>0.15</v>
      </c>
      <c r="I80" s="229">
        <v>0.15</v>
      </c>
      <c r="J80" s="229">
        <v>0.15</v>
      </c>
      <c r="K80" s="229">
        <v>0.15</v>
      </c>
      <c r="L80" s="229">
        <v>0.15</v>
      </c>
      <c r="M80" s="232"/>
      <c r="N80" s="16"/>
      <c r="O80" s="48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6"/>
    </row>
    <row r="81" spans="1:255" ht="16" customHeight="1">
      <c r="A81" s="133"/>
      <c r="B81" s="14"/>
      <c r="C81" s="595" t="s">
        <v>239</v>
      </c>
      <c r="D81" s="254">
        <v>35000</v>
      </c>
      <c r="E81" s="230"/>
      <c r="F81" s="15"/>
      <c r="G81" s="233" t="s">
        <v>74</v>
      </c>
      <c r="H81" s="596">
        <f>D81*(1+H80)</f>
        <v>40250</v>
      </c>
      <c r="I81" s="597">
        <f>H81*(1+I80)</f>
        <v>46287.5</v>
      </c>
      <c r="J81" s="597">
        <f>I81*(1+J80)</f>
        <v>53230.624999999993</v>
      </c>
      <c r="K81" s="597">
        <f>J81*(1+K80)</f>
        <v>61215.218749999985</v>
      </c>
      <c r="L81" s="597">
        <f>K81*(1+L80)</f>
        <v>70397.50156249998</v>
      </c>
      <c r="M81" s="244"/>
      <c r="N81" s="16"/>
      <c r="O81" s="48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6"/>
    </row>
    <row r="82" spans="1:255" ht="16" customHeight="1">
      <c r="A82" s="133"/>
      <c r="B82" s="162"/>
      <c r="C82" s="255"/>
      <c r="D82" s="255"/>
      <c r="E82" s="163"/>
      <c r="F82" s="240"/>
      <c r="G82" s="241"/>
      <c r="H82" s="242"/>
      <c r="I82" s="243"/>
      <c r="J82" s="243"/>
      <c r="K82" s="243"/>
      <c r="L82" s="243"/>
      <c r="M82" s="14"/>
      <c r="N82" s="16"/>
      <c r="O82" s="48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6"/>
    </row>
    <row r="83" spans="1:255" ht="16" customHeight="1">
      <c r="A83" s="133"/>
      <c r="B83" s="256" t="s">
        <v>75</v>
      </c>
      <c r="C83" s="135"/>
      <c r="D83" s="135"/>
      <c r="E83" s="135"/>
      <c r="F83" s="135"/>
      <c r="G83" s="257"/>
      <c r="H83" s="246">
        <f>SUM(H76,H81)</f>
        <v>96250</v>
      </c>
      <c r="I83" s="247">
        <f>SUM(I76,I81)</f>
        <v>124687.5</v>
      </c>
      <c r="J83" s="247">
        <f>SUM(J76,J81)</f>
        <v>162990.625</v>
      </c>
      <c r="K83" s="247">
        <f>SUM(K76,K81)</f>
        <v>214879.21875</v>
      </c>
      <c r="L83" s="247">
        <f>SUM(L76,L81)</f>
        <v>285527.10156249994</v>
      </c>
      <c r="M83" s="14"/>
      <c r="N83" s="16"/>
      <c r="O83" s="48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6"/>
    </row>
    <row r="84" spans="1:255" ht="17" customHeight="1">
      <c r="A84" s="133"/>
      <c r="B84" s="14"/>
      <c r="C84" s="35"/>
      <c r="D84" s="35"/>
      <c r="E84" s="15"/>
      <c r="F84" s="221"/>
      <c r="G84" s="222"/>
      <c r="H84" s="248"/>
      <c r="I84" s="249"/>
      <c r="J84" s="249"/>
      <c r="K84" s="249"/>
      <c r="L84" s="249"/>
      <c r="M84" s="14"/>
      <c r="N84" s="16"/>
      <c r="O84" s="48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6"/>
    </row>
    <row r="85" spans="1:255" ht="16" customHeight="1">
      <c r="A85" s="133"/>
      <c r="B85" s="219" t="s">
        <v>243</v>
      </c>
      <c r="C85" s="220"/>
      <c r="D85" s="294" t="s">
        <v>248</v>
      </c>
      <c r="F85" s="221"/>
      <c r="G85" s="222"/>
      <c r="H85" s="223"/>
      <c r="I85" s="224"/>
      <c r="J85" s="224"/>
      <c r="K85" s="224"/>
      <c r="L85" s="224"/>
      <c r="M85" s="14"/>
      <c r="N85" s="16"/>
      <c r="O85" s="48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6"/>
    </row>
    <row r="86" spans="1:255" ht="16" customHeight="1">
      <c r="A86" s="133"/>
      <c r="B86" s="14"/>
      <c r="C86" s="258" t="s">
        <v>77</v>
      </c>
      <c r="D86" s="259">
        <v>0</v>
      </c>
      <c r="F86" s="240"/>
      <c r="G86" s="261"/>
      <c r="H86" s="262"/>
      <c r="I86" s="263"/>
      <c r="J86" s="263"/>
      <c r="K86" s="263"/>
      <c r="L86" s="263"/>
      <c r="M86" s="14"/>
      <c r="N86" s="16"/>
      <c r="O86" s="48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6"/>
    </row>
    <row r="87" spans="1:255" ht="16" customHeight="1">
      <c r="A87" s="133"/>
      <c r="B87" s="14"/>
      <c r="C87" s="189" t="s">
        <v>246</v>
      </c>
      <c r="D87" s="135"/>
      <c r="E87" s="135"/>
      <c r="F87" s="135"/>
      <c r="G87" s="245"/>
      <c r="H87" s="246">
        <f>$D86*H83</f>
        <v>0</v>
      </c>
      <c r="I87" s="247">
        <f>$D86*I83</f>
        <v>0</v>
      </c>
      <c r="J87" s="247">
        <f>$D86*J83</f>
        <v>0</v>
      </c>
      <c r="K87" s="247">
        <f>$D86*K83</f>
        <v>0</v>
      </c>
      <c r="L87" s="247">
        <f>$D86*L83</f>
        <v>0</v>
      </c>
      <c r="M87" s="14"/>
      <c r="N87" s="16"/>
      <c r="O87" s="48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6"/>
    </row>
    <row r="88" spans="1:255" ht="16" customHeight="1">
      <c r="A88" s="133"/>
      <c r="B88" s="14"/>
      <c r="C88" s="188"/>
      <c r="D88" s="221"/>
      <c r="E88" s="221"/>
      <c r="F88" s="221"/>
      <c r="G88" s="222"/>
      <c r="H88" s="248"/>
      <c r="I88" s="249"/>
      <c r="J88" s="249"/>
      <c r="K88" s="249"/>
      <c r="L88" s="249"/>
      <c r="M88" s="14"/>
      <c r="N88" s="16"/>
      <c r="O88" s="48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6"/>
    </row>
    <row r="89" spans="1:255" ht="16" customHeight="1">
      <c r="A89" s="133"/>
      <c r="B89" s="219" t="s">
        <v>244</v>
      </c>
      <c r="C89" s="35"/>
      <c r="D89" s="294" t="s">
        <v>87</v>
      </c>
      <c r="E89" s="294" t="s">
        <v>247</v>
      </c>
      <c r="F89" s="15"/>
      <c r="G89" s="295"/>
      <c r="H89" s="296"/>
      <c r="I89" s="297"/>
      <c r="J89" s="297"/>
      <c r="K89" s="297"/>
      <c r="L89" s="297"/>
      <c r="M89" s="14"/>
      <c r="N89" s="16"/>
      <c r="O89" s="48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6"/>
    </row>
    <row r="90" spans="1:255" ht="16" customHeight="1">
      <c r="A90" s="133"/>
      <c r="B90" s="298"/>
      <c r="C90" s="595" t="s">
        <v>245</v>
      </c>
      <c r="D90" s="598">
        <v>0.15</v>
      </c>
      <c r="E90" s="254">
        <v>300</v>
      </c>
      <c r="F90" s="15"/>
      <c r="G90" s="295"/>
      <c r="H90" s="225"/>
      <c r="I90" s="226"/>
      <c r="J90" s="226"/>
      <c r="K90" s="226"/>
      <c r="L90" s="226"/>
      <c r="M90" s="14"/>
      <c r="N90" s="16"/>
      <c r="O90" s="48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6"/>
    </row>
    <row r="91" spans="1:255" ht="16" customHeight="1">
      <c r="A91" s="133"/>
      <c r="B91" s="14"/>
      <c r="C91" s="189" t="s">
        <v>249</v>
      </c>
      <c r="D91" s="135"/>
      <c r="E91" s="135"/>
      <c r="F91" s="135"/>
      <c r="G91" s="245"/>
      <c r="H91" s="246">
        <f>D90*E90</f>
        <v>45</v>
      </c>
      <c r="I91" s="247">
        <f>H87*$D90</f>
        <v>0</v>
      </c>
      <c r="J91" s="247">
        <f t="shared" ref="J91:L91" si="7">I87*$D90</f>
        <v>0</v>
      </c>
      <c r="K91" s="247">
        <f t="shared" si="7"/>
        <v>0</v>
      </c>
      <c r="L91" s="247">
        <f t="shared" si="7"/>
        <v>0</v>
      </c>
      <c r="M91" s="230"/>
      <c r="N91" s="16"/>
      <c r="O91" s="48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6"/>
    </row>
    <row r="92" spans="1:255" ht="16" customHeight="1">
      <c r="A92" s="133"/>
      <c r="B92" s="14"/>
      <c r="C92" s="15"/>
      <c r="D92" s="15"/>
      <c r="E92" s="15"/>
      <c r="F92" s="221"/>
      <c r="G92" s="222"/>
      <c r="H92" s="223"/>
      <c r="I92" s="224"/>
      <c r="J92" s="224"/>
      <c r="K92" s="224"/>
      <c r="L92" s="224"/>
      <c r="M92" s="14"/>
      <c r="N92" s="16"/>
      <c r="O92" s="48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6"/>
    </row>
    <row r="93" spans="1:255" ht="16" customHeight="1">
      <c r="A93" s="133"/>
      <c r="B93" s="14"/>
      <c r="C93" s="189" t="s">
        <v>250</v>
      </c>
      <c r="D93" s="135"/>
      <c r="E93" s="135"/>
      <c r="F93" s="135"/>
      <c r="G93" s="245"/>
      <c r="H93" s="246">
        <f>H91+H87</f>
        <v>45</v>
      </c>
      <c r="I93" s="246">
        <f t="shared" ref="I93:L93" si="8">I91+I87</f>
        <v>0</v>
      </c>
      <c r="J93" s="246">
        <f t="shared" si="8"/>
        <v>0</v>
      </c>
      <c r="K93" s="246">
        <f t="shared" si="8"/>
        <v>0</v>
      </c>
      <c r="L93" s="246">
        <f t="shared" si="8"/>
        <v>0</v>
      </c>
      <c r="M93" s="300"/>
      <c r="N93" s="301"/>
      <c r="O93" s="48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6"/>
    </row>
    <row r="94" spans="1:255" ht="16" customHeight="1">
      <c r="A94" s="133"/>
      <c r="B94" s="14"/>
      <c r="C94" s="220"/>
      <c r="D94" s="221"/>
      <c r="E94" s="221"/>
      <c r="F94" s="221"/>
      <c r="G94" s="222"/>
      <c r="H94" s="248"/>
      <c r="I94" s="249"/>
      <c r="J94" s="249"/>
      <c r="K94" s="249"/>
      <c r="L94" s="249"/>
      <c r="M94" s="14"/>
      <c r="N94" s="16"/>
      <c r="O94" s="48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6"/>
    </row>
    <row r="95" spans="1:255" ht="16" customHeight="1">
      <c r="A95" s="133"/>
      <c r="B95" s="219" t="s">
        <v>28</v>
      </c>
      <c r="C95" s="220"/>
      <c r="D95" s="228"/>
      <c r="E95" s="221"/>
      <c r="F95" s="221"/>
      <c r="G95" s="222"/>
      <c r="H95" s="248"/>
      <c r="I95" s="249"/>
      <c r="J95" s="249"/>
      <c r="K95" s="249"/>
      <c r="L95" s="249"/>
      <c r="M95" s="14"/>
      <c r="N95" s="16"/>
      <c r="O95" s="48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6"/>
    </row>
    <row r="96" spans="1:255" ht="16" customHeight="1">
      <c r="A96" s="133"/>
      <c r="B96" s="14"/>
      <c r="C96" s="270" t="s">
        <v>251</v>
      </c>
      <c r="D96" s="283">
        <v>0</v>
      </c>
      <c r="E96" s="232"/>
      <c r="F96" s="221"/>
      <c r="G96" s="222"/>
      <c r="H96" s="234">
        <f>H93*$D96</f>
        <v>0</v>
      </c>
      <c r="I96" s="234">
        <f t="shared" ref="I96:L96" si="9">I93*$D96</f>
        <v>0</v>
      </c>
      <c r="J96" s="234">
        <f t="shared" si="9"/>
        <v>0</v>
      </c>
      <c r="K96" s="234">
        <f t="shared" si="9"/>
        <v>0</v>
      </c>
      <c r="L96" s="234">
        <f t="shared" si="9"/>
        <v>0</v>
      </c>
      <c r="M96" s="14"/>
      <c r="N96" s="16"/>
      <c r="O96" s="48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6"/>
    </row>
    <row r="97" spans="1:255" ht="17" customHeight="1">
      <c r="A97" s="133"/>
      <c r="B97" s="171"/>
      <c r="C97" s="285"/>
      <c r="D97" s="228"/>
      <c r="E97" s="228"/>
      <c r="F97" s="228"/>
      <c r="G97" s="288"/>
      <c r="H97" s="302"/>
      <c r="I97" s="191"/>
      <c r="J97" s="191"/>
      <c r="K97" s="191"/>
      <c r="L97" s="191"/>
      <c r="M97" s="14"/>
      <c r="N97" s="16"/>
      <c r="O97" s="48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6"/>
    </row>
    <row r="98" spans="1:255" ht="17" customHeight="1">
      <c r="A98" s="133"/>
      <c r="B98" s="175" t="str">
        <f>"Total "&amp;B69&amp;" Revenue"</f>
        <v>Total E-commerce Sales Revenue</v>
      </c>
      <c r="C98" s="289"/>
      <c r="D98" s="289"/>
      <c r="E98" s="289"/>
      <c r="F98" s="289"/>
      <c r="G98" s="290"/>
      <c r="H98" s="291">
        <f>H96</f>
        <v>0</v>
      </c>
      <c r="I98" s="180">
        <f>I96</f>
        <v>0</v>
      </c>
      <c r="J98" s="180">
        <f>J96</f>
        <v>0</v>
      </c>
      <c r="K98" s="180">
        <f>K96</f>
        <v>0</v>
      </c>
      <c r="L98" s="180">
        <f>L96</f>
        <v>0</v>
      </c>
      <c r="M98" s="14"/>
      <c r="N98" s="16"/>
      <c r="O98" s="48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6"/>
    </row>
    <row r="99" spans="1:255" ht="17" customHeight="1">
      <c r="A99" s="48"/>
      <c r="B99" s="303"/>
      <c r="C99" s="303"/>
      <c r="D99" s="303"/>
      <c r="E99" s="303"/>
      <c r="F99" s="303"/>
      <c r="G99" s="304"/>
      <c r="H99" s="305"/>
      <c r="I99" s="306"/>
      <c r="J99" s="306"/>
      <c r="K99" s="306"/>
      <c r="L99" s="306"/>
      <c r="M99" s="15"/>
      <c r="N99" s="16"/>
      <c r="O99" s="48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6"/>
    </row>
    <row r="100" spans="1:255" ht="20" customHeight="1">
      <c r="A100" s="210"/>
      <c r="B100" s="211" t="s">
        <v>242</v>
      </c>
      <c r="C100" s="201"/>
      <c r="D100" s="201"/>
      <c r="E100" s="201"/>
      <c r="F100" s="201"/>
      <c r="G100" s="202"/>
      <c r="H100" s="212" t="str">
        <f t="shared" si="6"/>
        <v>Year 1</v>
      </c>
      <c r="I100" s="212" t="str">
        <f>I$3</f>
        <v>Year 2</v>
      </c>
      <c r="J100" s="212" t="str">
        <f>J$3</f>
        <v>Year 3</v>
      </c>
      <c r="K100" s="212" t="str">
        <f>K$3</f>
        <v>Year 4</v>
      </c>
      <c r="L100" s="213" t="str">
        <f>L$3</f>
        <v>Year 5</v>
      </c>
      <c r="M100" s="14"/>
      <c r="N100" s="16"/>
      <c r="O100" s="48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6"/>
    </row>
    <row r="101" spans="1:255" ht="16" customHeight="1">
      <c r="A101" s="133"/>
      <c r="B101" s="214"/>
      <c r="C101" s="215"/>
      <c r="D101" s="215"/>
      <c r="E101" s="182"/>
      <c r="F101" s="182"/>
      <c r="G101" s="216"/>
      <c r="H101" s="217"/>
      <c r="I101" s="218"/>
      <c r="J101" s="218"/>
      <c r="K101" s="218"/>
      <c r="L101" s="218"/>
      <c r="M101" s="14"/>
      <c r="N101" s="16"/>
      <c r="O101" s="48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6"/>
    </row>
    <row r="102" spans="1:255" ht="16" customHeight="1">
      <c r="A102" s="133"/>
      <c r="B102" s="219" t="s">
        <v>253</v>
      </c>
      <c r="C102" s="35"/>
      <c r="D102" s="15"/>
      <c r="E102" s="15"/>
      <c r="F102" s="15"/>
      <c r="G102" s="295"/>
      <c r="H102" s="296"/>
      <c r="I102" s="297"/>
      <c r="J102" s="297"/>
      <c r="K102" s="297"/>
      <c r="L102" s="297"/>
      <c r="M102" s="14"/>
      <c r="N102" s="16"/>
      <c r="O102" s="48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6"/>
    </row>
    <row r="103" spans="1:255" ht="16" customHeight="1">
      <c r="A103" s="133"/>
      <c r="B103" s="298"/>
      <c r="C103" s="595" t="s">
        <v>252</v>
      </c>
      <c r="D103" s="15"/>
      <c r="E103" s="15"/>
      <c r="F103" s="15"/>
      <c r="G103" s="295"/>
      <c r="H103" s="223">
        <f>Costs!H71</f>
        <v>0</v>
      </c>
      <c r="I103" s="223">
        <f>Costs!I71</f>
        <v>0</v>
      </c>
      <c r="J103" s="223">
        <f>Costs!J71</f>
        <v>0</v>
      </c>
      <c r="K103" s="223">
        <f>Costs!K71</f>
        <v>0</v>
      </c>
      <c r="L103" s="223">
        <f>Costs!L71</f>
        <v>0</v>
      </c>
      <c r="M103" s="14"/>
      <c r="N103" s="16"/>
      <c r="O103" s="48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6"/>
    </row>
    <row r="104" spans="1:255" ht="16" customHeight="1">
      <c r="A104" s="133"/>
      <c r="B104" s="14"/>
      <c r="C104" s="220"/>
      <c r="D104" s="294" t="s">
        <v>255</v>
      </c>
      <c r="E104" s="15"/>
      <c r="F104" s="221"/>
      <c r="G104" s="222"/>
      <c r="H104" s="223"/>
      <c r="I104" s="223"/>
      <c r="J104" s="223"/>
      <c r="K104" s="223"/>
      <c r="L104" s="223"/>
      <c r="M104" s="14"/>
      <c r="N104" s="16"/>
      <c r="O104" s="48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6"/>
    </row>
    <row r="105" spans="1:255" ht="16" customHeight="1">
      <c r="A105" s="133"/>
      <c r="B105" s="14"/>
      <c r="C105" s="270" t="s">
        <v>254</v>
      </c>
      <c r="D105" s="254">
        <v>20</v>
      </c>
      <c r="E105" s="272"/>
      <c r="F105" s="221"/>
      <c r="G105" s="222"/>
      <c r="H105" s="223">
        <f>$D105*52</f>
        <v>1040</v>
      </c>
      <c r="I105" s="223">
        <f t="shared" ref="I105:L105" si="10">$D105*52</f>
        <v>1040</v>
      </c>
      <c r="J105" s="223">
        <f t="shared" si="10"/>
        <v>1040</v>
      </c>
      <c r="K105" s="223">
        <f t="shared" si="10"/>
        <v>1040</v>
      </c>
      <c r="L105" s="223">
        <f t="shared" si="10"/>
        <v>1040</v>
      </c>
      <c r="M105" s="300"/>
      <c r="N105" s="301"/>
      <c r="O105" s="48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6"/>
    </row>
    <row r="106" spans="1:255" ht="16" customHeight="1">
      <c r="A106" s="133"/>
      <c r="B106" s="14"/>
      <c r="C106" s="220"/>
      <c r="D106" s="221"/>
      <c r="E106" s="221"/>
      <c r="F106" s="221"/>
      <c r="G106" s="222"/>
      <c r="H106" s="248"/>
      <c r="I106" s="249"/>
      <c r="J106" s="249"/>
      <c r="K106" s="249"/>
      <c r="L106" s="249"/>
      <c r="M106" s="14"/>
      <c r="N106" s="16"/>
      <c r="O106" s="48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6"/>
    </row>
    <row r="107" spans="1:255" ht="16" customHeight="1">
      <c r="A107" s="133"/>
      <c r="B107" s="14"/>
      <c r="C107" s="189" t="s">
        <v>256</v>
      </c>
      <c r="D107" s="135"/>
      <c r="E107" s="135"/>
      <c r="F107" s="135"/>
      <c r="G107" s="245"/>
      <c r="H107" s="246">
        <f>H105*H103</f>
        <v>0</v>
      </c>
      <c r="I107" s="246">
        <f t="shared" ref="I107:L107" si="11">I105*I103</f>
        <v>0</v>
      </c>
      <c r="J107" s="246">
        <f t="shared" si="11"/>
        <v>0</v>
      </c>
      <c r="K107" s="246">
        <f t="shared" si="11"/>
        <v>0</v>
      </c>
      <c r="L107" s="246">
        <f t="shared" si="11"/>
        <v>0</v>
      </c>
      <c r="M107" s="14"/>
      <c r="N107" s="16"/>
      <c r="O107" s="48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6"/>
    </row>
    <row r="108" spans="1:255" ht="17" customHeight="1">
      <c r="A108" s="133"/>
      <c r="B108" s="171"/>
      <c r="C108" s="285"/>
      <c r="D108" s="228"/>
      <c r="E108" s="228"/>
      <c r="F108" s="228"/>
      <c r="G108" s="288"/>
      <c r="H108" s="302"/>
      <c r="I108" s="191"/>
      <c r="J108" s="191"/>
      <c r="K108" s="191"/>
      <c r="L108" s="191"/>
      <c r="M108" s="14"/>
      <c r="N108" s="16"/>
      <c r="O108" s="48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6"/>
    </row>
    <row r="109" spans="1:255" ht="16" customHeight="1">
      <c r="A109" s="133"/>
      <c r="B109" s="219" t="s">
        <v>257</v>
      </c>
      <c r="C109" s="35"/>
      <c r="D109" s="294" t="s">
        <v>248</v>
      </c>
      <c r="E109" s="15"/>
      <c r="F109" s="15"/>
      <c r="G109" s="295"/>
      <c r="H109" s="296"/>
      <c r="I109" s="297"/>
      <c r="J109" s="297"/>
      <c r="K109" s="297"/>
      <c r="L109" s="297"/>
      <c r="M109" s="14"/>
      <c r="N109" s="16"/>
      <c r="O109" s="48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6"/>
    </row>
    <row r="110" spans="1:255" ht="16" customHeight="1">
      <c r="A110" s="133"/>
      <c r="B110" s="298"/>
      <c r="C110" s="595" t="s">
        <v>258</v>
      </c>
      <c r="D110" s="299">
        <v>0.01</v>
      </c>
      <c r="E110" s="230"/>
      <c r="F110" s="15"/>
      <c r="G110" s="295"/>
      <c r="H110" s="223">
        <f>$D110*H107</f>
        <v>0</v>
      </c>
      <c r="I110" s="223">
        <f t="shared" ref="I110:L110" si="12">$D110*I107</f>
        <v>0</v>
      </c>
      <c r="J110" s="223">
        <f t="shared" si="12"/>
        <v>0</v>
      </c>
      <c r="K110" s="223">
        <f t="shared" si="12"/>
        <v>0</v>
      </c>
      <c r="L110" s="223">
        <f t="shared" si="12"/>
        <v>0</v>
      </c>
      <c r="M110" s="14"/>
      <c r="N110" s="16"/>
      <c r="O110" s="48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6"/>
    </row>
    <row r="111" spans="1:255" ht="16" customHeight="1">
      <c r="A111" s="133"/>
      <c r="B111" s="14"/>
      <c r="C111" s="227"/>
      <c r="D111" s="15"/>
      <c r="E111" s="15"/>
      <c r="F111" s="15"/>
      <c r="G111" s="295"/>
      <c r="H111" s="295"/>
      <c r="I111" s="295"/>
      <c r="J111" s="295"/>
      <c r="K111" s="295"/>
      <c r="L111" s="295"/>
      <c r="M111" s="230"/>
      <c r="N111" s="16"/>
      <c r="O111" s="48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6"/>
    </row>
    <row r="112" spans="1:255" ht="16" customHeight="1">
      <c r="A112" s="133"/>
      <c r="B112" s="14"/>
      <c r="C112" s="220"/>
      <c r="D112" s="294" t="s">
        <v>90</v>
      </c>
      <c r="E112" s="15"/>
      <c r="F112" s="221"/>
      <c r="G112" s="222"/>
      <c r="H112" s="223"/>
      <c r="I112" s="224"/>
      <c r="J112" s="224"/>
      <c r="K112" s="224"/>
      <c r="L112" s="224"/>
      <c r="M112" s="14"/>
      <c r="N112" s="16"/>
      <c r="O112" s="48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6"/>
    </row>
    <row r="113" spans="1:255" ht="16" customHeight="1">
      <c r="A113" s="133"/>
      <c r="B113" s="14"/>
      <c r="C113" s="270" t="s">
        <v>91</v>
      </c>
      <c r="D113" s="299">
        <v>0.1</v>
      </c>
      <c r="E113" s="272"/>
      <c r="F113" s="221"/>
      <c r="G113" s="222"/>
      <c r="H113" s="223">
        <f>INT($D113*D116)</f>
        <v>10</v>
      </c>
      <c r="I113" s="224">
        <f>INT($D113*H116)</f>
        <v>9</v>
      </c>
      <c r="J113" s="224">
        <f>INT($D113*I116)</f>
        <v>8</v>
      </c>
      <c r="K113" s="224">
        <f>INT($D113*J116)</f>
        <v>7</v>
      </c>
      <c r="L113" s="224">
        <f>INT($D113*K116)</f>
        <v>6</v>
      </c>
      <c r="M113" s="300"/>
      <c r="N113" s="301"/>
      <c r="O113" s="48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6"/>
    </row>
    <row r="114" spans="1:255" ht="16" customHeight="1">
      <c r="A114" s="133"/>
      <c r="B114" s="14"/>
      <c r="C114" s="220"/>
      <c r="D114" s="221"/>
      <c r="E114" s="221"/>
      <c r="F114" s="221"/>
      <c r="G114" s="222"/>
      <c r="H114" s="248"/>
      <c r="I114" s="249"/>
      <c r="J114" s="249"/>
      <c r="K114" s="249"/>
      <c r="L114" s="249"/>
      <c r="M114" s="14"/>
      <c r="N114" s="16"/>
      <c r="O114" s="48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6"/>
    </row>
    <row r="115" spans="1:255" ht="16" customHeight="1">
      <c r="A115" s="133"/>
      <c r="B115" s="14"/>
      <c r="C115" s="35"/>
      <c r="D115" s="294" t="s">
        <v>220</v>
      </c>
      <c r="E115" s="15"/>
      <c r="F115" s="15"/>
      <c r="G115" s="295"/>
      <c r="H115" s="223"/>
      <c r="I115" s="224"/>
      <c r="J115" s="224"/>
      <c r="K115" s="224"/>
      <c r="L115" s="224"/>
      <c r="M115" s="14"/>
      <c r="N115" s="16"/>
      <c r="O115" s="48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6"/>
    </row>
    <row r="116" spans="1:255" ht="16" customHeight="1">
      <c r="A116" s="133"/>
      <c r="B116" s="14"/>
      <c r="C116" s="253" t="s">
        <v>92</v>
      </c>
      <c r="D116" s="254">
        <v>100</v>
      </c>
      <c r="E116" s="230"/>
      <c r="F116" s="15"/>
      <c r="G116" s="295"/>
      <c r="H116" s="223">
        <f>D116+H110-H113</f>
        <v>90</v>
      </c>
      <c r="I116" s="224">
        <f>H116+I110-I113</f>
        <v>81</v>
      </c>
      <c r="J116" s="224">
        <f>I116+J110-J113</f>
        <v>73</v>
      </c>
      <c r="K116" s="224">
        <f>J116+K110-K113</f>
        <v>66</v>
      </c>
      <c r="L116" s="224">
        <f>K116+L110-L113</f>
        <v>60</v>
      </c>
      <c r="M116" s="14"/>
      <c r="N116" s="16"/>
      <c r="O116" s="48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6"/>
    </row>
    <row r="117" spans="1:255" ht="16" customHeight="1">
      <c r="A117" s="133"/>
      <c r="B117" s="14"/>
      <c r="C117" s="220"/>
      <c r="D117" s="221"/>
      <c r="E117" s="221"/>
      <c r="F117" s="221"/>
      <c r="G117" s="222"/>
      <c r="H117" s="248"/>
      <c r="I117" s="249"/>
      <c r="J117" s="249"/>
      <c r="K117" s="249"/>
      <c r="L117" s="249"/>
      <c r="M117" s="14"/>
      <c r="N117" s="16"/>
      <c r="O117" s="48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6"/>
    </row>
    <row r="118" spans="1:255" ht="16" customHeight="1">
      <c r="A118" s="133"/>
      <c r="B118" s="219" t="s">
        <v>28</v>
      </c>
      <c r="C118" s="220"/>
      <c r="D118" s="228"/>
      <c r="E118" s="294" t="s">
        <v>259</v>
      </c>
      <c r="F118" s="221"/>
      <c r="G118" s="222"/>
      <c r="H118" s="248"/>
      <c r="I118" s="249"/>
      <c r="J118" s="249"/>
      <c r="K118" s="249"/>
      <c r="L118" s="249"/>
      <c r="M118" s="14"/>
      <c r="N118" s="16"/>
      <c r="O118" s="48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6"/>
    </row>
    <row r="119" spans="1:255" ht="16" customHeight="1">
      <c r="A119" s="133"/>
      <c r="B119" s="14"/>
      <c r="C119" s="270" t="s">
        <v>93</v>
      </c>
      <c r="D119" s="283">
        <v>0</v>
      </c>
      <c r="E119" s="259">
        <v>0.05</v>
      </c>
      <c r="F119" s="221"/>
      <c r="G119" s="222"/>
      <c r="H119" s="234">
        <f>H116*$D119</f>
        <v>0</v>
      </c>
      <c r="I119" s="235">
        <f>I116*$D119*(1+$E119)^(I2)</f>
        <v>0</v>
      </c>
      <c r="J119" s="235">
        <f t="shared" ref="J119:L119" si="13">J116*$D119*(1+$E119)^(J2)</f>
        <v>0</v>
      </c>
      <c r="K119" s="235">
        <f t="shared" si="13"/>
        <v>0</v>
      </c>
      <c r="L119" s="235">
        <f t="shared" si="13"/>
        <v>0</v>
      </c>
      <c r="M119" s="14"/>
      <c r="N119" s="16"/>
      <c r="O119" s="48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6"/>
    </row>
    <row r="120" spans="1:255" ht="17" customHeight="1">
      <c r="A120" s="133"/>
      <c r="B120" s="171"/>
      <c r="C120" s="285"/>
      <c r="D120" s="228"/>
      <c r="E120" s="228"/>
      <c r="F120" s="228"/>
      <c r="G120" s="288"/>
      <c r="H120" s="302"/>
      <c r="I120" s="191"/>
      <c r="J120" s="191"/>
      <c r="K120" s="191"/>
      <c r="L120" s="191"/>
      <c r="M120" s="14"/>
      <c r="N120" s="16"/>
      <c r="O120" s="48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6"/>
    </row>
    <row r="121" spans="1:255" ht="17" customHeight="1">
      <c r="A121" s="133"/>
      <c r="B121" s="175" t="str">
        <f>"Total "&amp;B100&amp;" Revenue"</f>
        <v>Total Outbound Sales Revenue</v>
      </c>
      <c r="C121" s="289"/>
      <c r="D121" s="289"/>
      <c r="E121" s="289"/>
      <c r="F121" s="289"/>
      <c r="G121" s="290"/>
      <c r="H121" s="291">
        <f>H119</f>
        <v>0</v>
      </c>
      <c r="I121" s="180">
        <f>I119</f>
        <v>0</v>
      </c>
      <c r="J121" s="180">
        <f>J119</f>
        <v>0</v>
      </c>
      <c r="K121" s="180">
        <f>K119</f>
        <v>0</v>
      </c>
      <c r="L121" s="180">
        <f>L119</f>
        <v>0</v>
      </c>
      <c r="M121" s="14"/>
      <c r="N121" s="16"/>
      <c r="O121" s="48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6"/>
    </row>
    <row r="122" spans="1:255" ht="17" customHeight="1">
      <c r="A122" s="48"/>
      <c r="B122" s="303"/>
      <c r="C122" s="303"/>
      <c r="D122" s="303"/>
      <c r="E122" s="303"/>
      <c r="F122" s="303"/>
      <c r="G122" s="304"/>
      <c r="H122" s="305"/>
      <c r="I122" s="306"/>
      <c r="J122" s="306"/>
      <c r="K122" s="306"/>
      <c r="L122" s="306"/>
      <c r="M122" s="15"/>
      <c r="N122" s="16"/>
      <c r="O122" s="48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6"/>
    </row>
    <row r="123" spans="1:255" ht="17" customHeight="1">
      <c r="A123" s="133"/>
      <c r="B123" s="175" t="s">
        <v>29</v>
      </c>
      <c r="C123" s="289"/>
      <c r="D123" s="289"/>
      <c r="E123" s="289"/>
      <c r="F123" s="289"/>
      <c r="G123" s="290"/>
      <c r="H123" s="291">
        <f>H67+H51+H98+H121</f>
        <v>1042983.4171428571</v>
      </c>
      <c r="I123" s="291">
        <f>I67+I51+I98+I121</f>
        <v>2153420.2971428572</v>
      </c>
      <c r="J123" s="291">
        <f>J67+J51+J98+J121</f>
        <v>3825891.8971428573</v>
      </c>
      <c r="K123" s="291">
        <f>K67+K51+K98+K121</f>
        <v>6453747.0171428565</v>
      </c>
      <c r="L123" s="291">
        <f>L67+L51+L98+L121</f>
        <v>10740014.697142856</v>
      </c>
      <c r="M123" s="14"/>
      <c r="N123" s="16"/>
      <c r="O123" s="48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6"/>
    </row>
    <row r="124" spans="1:255" ht="16" customHeight="1">
      <c r="A124" s="48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5"/>
      <c r="N124" s="16"/>
      <c r="O124" s="48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6"/>
    </row>
    <row r="125" spans="1:255" ht="16" customHeight="1">
      <c r="A125" s="48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6"/>
      <c r="O125" s="48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6"/>
    </row>
    <row r="126" spans="1:255" ht="16" customHeight="1">
      <c r="A126" s="48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6"/>
      <c r="O126" s="48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6"/>
    </row>
    <row r="127" spans="1:255" ht="16" customHeight="1">
      <c r="A127" s="48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6"/>
      <c r="O127" s="48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6"/>
    </row>
    <row r="128" spans="1:255" ht="16" customHeight="1">
      <c r="A128" s="48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6"/>
      <c r="O128" s="48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6"/>
    </row>
    <row r="129" spans="1:255" ht="16" customHeight="1">
      <c r="A129" s="48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6"/>
      <c r="O129" s="48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6"/>
    </row>
    <row r="130" spans="1:255" ht="16" customHeight="1">
      <c r="A130" s="48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6"/>
      <c r="O130" s="48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6"/>
    </row>
    <row r="131" spans="1:255" ht="16" customHeight="1">
      <c r="A131" s="48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6"/>
      <c r="O131" s="48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6"/>
    </row>
    <row r="132" spans="1:255" ht="16" customHeight="1">
      <c r="A132" s="48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6"/>
      <c r="O132" s="48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6"/>
    </row>
    <row r="133" spans="1:255" ht="16" customHeight="1">
      <c r="A133" s="48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6"/>
      <c r="O133" s="48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6"/>
    </row>
    <row r="134" spans="1:255" ht="16" customHeight="1">
      <c r="A134" s="48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6"/>
      <c r="O134" s="48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6"/>
    </row>
    <row r="135" spans="1:255" ht="16" customHeight="1">
      <c r="A135" s="307"/>
      <c r="B135" s="308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5"/>
      <c r="O135" s="307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  <c r="EE135" s="54"/>
      <c r="EF135" s="54"/>
      <c r="EG135" s="54"/>
      <c r="EH135" s="54"/>
      <c r="EI135" s="54"/>
      <c r="EJ135" s="54"/>
      <c r="EK135" s="54"/>
      <c r="EL135" s="54"/>
      <c r="EM135" s="54"/>
      <c r="EN135" s="54"/>
      <c r="EO135" s="54"/>
      <c r="EP135" s="54"/>
      <c r="EQ135" s="54"/>
      <c r="ER135" s="54"/>
      <c r="ES135" s="54"/>
      <c r="ET135" s="54"/>
      <c r="EU135" s="54"/>
      <c r="EV135" s="54"/>
      <c r="EW135" s="54"/>
      <c r="EX135" s="54"/>
      <c r="EY135" s="54"/>
      <c r="EZ135" s="54"/>
      <c r="FA135" s="54"/>
      <c r="FB135" s="54"/>
      <c r="FC135" s="54"/>
      <c r="FD135" s="54"/>
      <c r="FE135" s="54"/>
      <c r="FF135" s="54"/>
      <c r="FG135" s="54"/>
      <c r="FH135" s="54"/>
      <c r="FI135" s="54"/>
      <c r="FJ135" s="54"/>
      <c r="FK135" s="54"/>
      <c r="FL135" s="54"/>
      <c r="FM135" s="54"/>
      <c r="FN135" s="54"/>
      <c r="FO135" s="54"/>
      <c r="FP135" s="54"/>
      <c r="FQ135" s="54"/>
      <c r="FR135" s="54"/>
      <c r="FS135" s="54"/>
      <c r="FT135" s="54"/>
      <c r="FU135" s="54"/>
      <c r="FV135" s="54"/>
      <c r="FW135" s="54"/>
      <c r="FX135" s="54"/>
      <c r="FY135" s="54"/>
      <c r="FZ135" s="54"/>
      <c r="GA135" s="54"/>
      <c r="GB135" s="54"/>
      <c r="GC135" s="54"/>
      <c r="GD135" s="54"/>
      <c r="GE135" s="54"/>
      <c r="GF135" s="54"/>
      <c r="GG135" s="54"/>
      <c r="GH135" s="54"/>
      <c r="GI135" s="54"/>
      <c r="GJ135" s="54"/>
      <c r="GK135" s="54"/>
      <c r="GL135" s="54"/>
      <c r="GM135" s="54"/>
      <c r="GN135" s="54"/>
      <c r="GO135" s="54"/>
      <c r="GP135" s="54"/>
      <c r="GQ135" s="54"/>
      <c r="GR135" s="54"/>
      <c r="GS135" s="54"/>
      <c r="GT135" s="54"/>
      <c r="GU135" s="54"/>
      <c r="GV135" s="54"/>
      <c r="GW135" s="54"/>
      <c r="GX135" s="54"/>
      <c r="GY135" s="54"/>
      <c r="GZ135" s="54"/>
      <c r="HA135" s="54"/>
      <c r="HB135" s="54"/>
      <c r="HC135" s="54"/>
      <c r="HD135" s="54"/>
      <c r="HE135" s="54"/>
      <c r="HF135" s="54"/>
      <c r="HG135" s="54"/>
      <c r="HH135" s="54"/>
      <c r="HI135" s="54"/>
      <c r="HJ135" s="54"/>
      <c r="HK135" s="54"/>
      <c r="HL135" s="54"/>
      <c r="HM135" s="54"/>
      <c r="HN135" s="54"/>
      <c r="HO135" s="54"/>
      <c r="HP135" s="54"/>
      <c r="HQ135" s="54"/>
      <c r="HR135" s="54"/>
      <c r="HS135" s="54"/>
      <c r="HT135" s="54"/>
      <c r="HU135" s="54"/>
      <c r="HV135" s="54"/>
      <c r="HW135" s="54"/>
      <c r="HX135" s="54"/>
      <c r="HY135" s="54"/>
      <c r="HZ135" s="54"/>
      <c r="IA135" s="54"/>
      <c r="IB135" s="54"/>
      <c r="IC135" s="54"/>
      <c r="ID135" s="54"/>
      <c r="IE135" s="54"/>
      <c r="IF135" s="54"/>
      <c r="IG135" s="54"/>
      <c r="IH135" s="54"/>
      <c r="II135" s="54"/>
      <c r="IJ135" s="54"/>
      <c r="IK135" s="54"/>
      <c r="IL135" s="54"/>
      <c r="IM135" s="54"/>
      <c r="IN135" s="54"/>
      <c r="IO135" s="54"/>
      <c r="IP135" s="54"/>
      <c r="IQ135" s="54"/>
      <c r="IR135" s="54"/>
      <c r="IS135" s="54"/>
      <c r="IT135" s="54"/>
      <c r="IU135" s="55"/>
    </row>
    <row r="136" spans="1:255" ht="17" customHeight="1">
      <c r="A136" s="19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7"/>
    </row>
    <row r="137" spans="1:255" ht="17" customHeight="1">
      <c r="A137" s="48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6"/>
    </row>
    <row r="138" spans="1:255" ht="17" customHeight="1">
      <c r="A138" s="48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6"/>
    </row>
    <row r="139" spans="1:255" ht="17" customHeight="1">
      <c r="A139" s="48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6"/>
    </row>
    <row r="140" spans="1:255" ht="17" customHeight="1">
      <c r="A140" s="48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6"/>
    </row>
    <row r="141" spans="1:255" ht="17" customHeight="1">
      <c r="A141" s="48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6"/>
    </row>
    <row r="142" spans="1:255" ht="17" customHeight="1">
      <c r="A142" s="48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6"/>
    </row>
    <row r="143" spans="1:255" ht="17" customHeight="1">
      <c r="A143" s="48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6"/>
    </row>
    <row r="144" spans="1:255" ht="17" customHeight="1">
      <c r="A144" s="48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6"/>
    </row>
    <row r="145" spans="1:255" ht="17" customHeight="1">
      <c r="A145" s="48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6"/>
    </row>
    <row r="146" spans="1:255" ht="17" customHeight="1">
      <c r="A146" s="48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6"/>
    </row>
    <row r="147" spans="1:255" ht="17" customHeight="1">
      <c r="A147" s="48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6"/>
    </row>
    <row r="148" spans="1:255" ht="17" customHeight="1">
      <c r="A148" s="48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6"/>
    </row>
    <row r="149" spans="1:255" ht="17" customHeight="1">
      <c r="A149" s="48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6"/>
    </row>
    <row r="150" spans="1:255" ht="17" customHeight="1">
      <c r="A150" s="48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6"/>
    </row>
    <row r="151" spans="1:255" ht="17" customHeight="1">
      <c r="A151" s="48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6"/>
    </row>
    <row r="152" spans="1:255" ht="17" customHeight="1">
      <c r="A152" s="48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6"/>
    </row>
    <row r="153" spans="1:255" ht="17" customHeight="1">
      <c r="A153" s="48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6"/>
    </row>
    <row r="154" spans="1:255" ht="17" customHeight="1">
      <c r="A154" s="48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6"/>
    </row>
    <row r="155" spans="1:255" ht="17" customHeight="1">
      <c r="A155" s="48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6"/>
    </row>
    <row r="156" spans="1:255" ht="17" customHeight="1">
      <c r="A156" s="48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6"/>
    </row>
    <row r="157" spans="1:255" ht="17" customHeight="1">
      <c r="A157" s="48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6"/>
    </row>
    <row r="158" spans="1:255" ht="17" customHeight="1">
      <c r="A158" s="48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6"/>
    </row>
    <row r="159" spans="1:255" ht="17" customHeight="1">
      <c r="A159" s="48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6"/>
    </row>
    <row r="160" spans="1:255" ht="17" customHeight="1">
      <c r="A160" s="48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6"/>
    </row>
    <row r="161" spans="1:255" ht="17" customHeight="1">
      <c r="A161" s="48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6"/>
    </row>
    <row r="162" spans="1:255" ht="17" customHeight="1">
      <c r="A162" s="48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6"/>
    </row>
    <row r="163" spans="1:255" ht="17" customHeight="1">
      <c r="A163" s="48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6"/>
    </row>
    <row r="164" spans="1:255" ht="17" customHeight="1">
      <c r="A164" s="48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6"/>
    </row>
    <row r="165" spans="1:255" ht="17" customHeight="1">
      <c r="A165" s="48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6"/>
    </row>
    <row r="166" spans="1:255" ht="17" customHeight="1">
      <c r="A166" s="48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6"/>
    </row>
    <row r="167" spans="1:255" ht="17" customHeight="1">
      <c r="A167" s="48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6"/>
    </row>
    <row r="168" spans="1:255" ht="17" customHeight="1">
      <c r="A168" s="48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6"/>
    </row>
    <row r="169" spans="1:255" ht="17" customHeight="1">
      <c r="A169" s="48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6"/>
    </row>
    <row r="170" spans="1:255" ht="17" customHeight="1">
      <c r="A170" s="48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6"/>
    </row>
    <row r="171" spans="1:255" ht="17" customHeight="1">
      <c r="A171" s="48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6"/>
    </row>
    <row r="172" spans="1:255" ht="17" customHeight="1">
      <c r="A172" s="48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6"/>
    </row>
    <row r="173" spans="1:255" ht="17" customHeight="1">
      <c r="A173" s="48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6"/>
    </row>
    <row r="174" spans="1:255" ht="17" customHeight="1">
      <c r="A174" s="307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  <c r="CZ174" s="54"/>
      <c r="DA174" s="54"/>
      <c r="DB174" s="54"/>
      <c r="DC174" s="54"/>
      <c r="DD174" s="54"/>
      <c r="DE174" s="54"/>
      <c r="DF174" s="54"/>
      <c r="DG174" s="54"/>
      <c r="DH174" s="54"/>
      <c r="DI174" s="54"/>
      <c r="DJ174" s="54"/>
      <c r="DK174" s="54"/>
      <c r="DL174" s="54"/>
      <c r="DM174" s="54"/>
      <c r="DN174" s="54"/>
      <c r="DO174" s="54"/>
      <c r="DP174" s="54"/>
      <c r="DQ174" s="54"/>
      <c r="DR174" s="54"/>
      <c r="DS174" s="54"/>
      <c r="DT174" s="54"/>
      <c r="DU174" s="54"/>
      <c r="DV174" s="54"/>
      <c r="DW174" s="54"/>
      <c r="DX174" s="54"/>
      <c r="DY174" s="54"/>
      <c r="DZ174" s="54"/>
      <c r="EA174" s="54"/>
      <c r="EB174" s="54"/>
      <c r="EC174" s="54"/>
      <c r="ED174" s="54"/>
      <c r="EE174" s="54"/>
      <c r="EF174" s="54"/>
      <c r="EG174" s="54"/>
      <c r="EH174" s="54"/>
      <c r="EI174" s="54"/>
      <c r="EJ174" s="54"/>
      <c r="EK174" s="54"/>
      <c r="EL174" s="54"/>
      <c r="EM174" s="54"/>
      <c r="EN174" s="54"/>
      <c r="EO174" s="54"/>
      <c r="EP174" s="54"/>
      <c r="EQ174" s="54"/>
      <c r="ER174" s="54"/>
      <c r="ES174" s="54"/>
      <c r="ET174" s="54"/>
      <c r="EU174" s="54"/>
      <c r="EV174" s="54"/>
      <c r="EW174" s="54"/>
      <c r="EX174" s="54"/>
      <c r="EY174" s="54"/>
      <c r="EZ174" s="54"/>
      <c r="FA174" s="54"/>
      <c r="FB174" s="54"/>
      <c r="FC174" s="54"/>
      <c r="FD174" s="54"/>
      <c r="FE174" s="54"/>
      <c r="FF174" s="54"/>
      <c r="FG174" s="54"/>
      <c r="FH174" s="54"/>
      <c r="FI174" s="54"/>
      <c r="FJ174" s="54"/>
      <c r="FK174" s="54"/>
      <c r="FL174" s="54"/>
      <c r="FM174" s="54"/>
      <c r="FN174" s="54"/>
      <c r="FO174" s="54"/>
      <c r="FP174" s="54"/>
      <c r="FQ174" s="54"/>
      <c r="FR174" s="54"/>
      <c r="FS174" s="54"/>
      <c r="FT174" s="54"/>
      <c r="FU174" s="54"/>
      <c r="FV174" s="54"/>
      <c r="FW174" s="54"/>
      <c r="FX174" s="54"/>
      <c r="FY174" s="54"/>
      <c r="FZ174" s="54"/>
      <c r="GA174" s="54"/>
      <c r="GB174" s="54"/>
      <c r="GC174" s="54"/>
      <c r="GD174" s="54"/>
      <c r="GE174" s="54"/>
      <c r="GF174" s="54"/>
      <c r="GG174" s="54"/>
      <c r="GH174" s="54"/>
      <c r="GI174" s="54"/>
      <c r="GJ174" s="54"/>
      <c r="GK174" s="54"/>
      <c r="GL174" s="54"/>
      <c r="GM174" s="54"/>
      <c r="GN174" s="54"/>
      <c r="GO174" s="54"/>
      <c r="GP174" s="54"/>
      <c r="GQ174" s="54"/>
      <c r="GR174" s="54"/>
      <c r="GS174" s="54"/>
      <c r="GT174" s="54"/>
      <c r="GU174" s="54"/>
      <c r="GV174" s="54"/>
      <c r="GW174" s="54"/>
      <c r="GX174" s="54"/>
      <c r="GY174" s="54"/>
      <c r="GZ174" s="54"/>
      <c r="HA174" s="54"/>
      <c r="HB174" s="54"/>
      <c r="HC174" s="54"/>
      <c r="HD174" s="54"/>
      <c r="HE174" s="54"/>
      <c r="HF174" s="54"/>
      <c r="HG174" s="54"/>
      <c r="HH174" s="54"/>
      <c r="HI174" s="54"/>
      <c r="HJ174" s="54"/>
      <c r="HK174" s="54"/>
      <c r="HL174" s="54"/>
      <c r="HM174" s="54"/>
      <c r="HN174" s="54"/>
      <c r="HO174" s="54"/>
      <c r="HP174" s="54"/>
      <c r="HQ174" s="54"/>
      <c r="HR174" s="54"/>
      <c r="HS174" s="54"/>
      <c r="HT174" s="54"/>
      <c r="HU174" s="54"/>
      <c r="HV174" s="54"/>
      <c r="HW174" s="54"/>
      <c r="HX174" s="54"/>
      <c r="HY174" s="54"/>
      <c r="HZ174" s="54"/>
      <c r="IA174" s="54"/>
      <c r="IB174" s="54"/>
      <c r="IC174" s="54"/>
      <c r="ID174" s="54"/>
      <c r="IE174" s="54"/>
      <c r="IF174" s="54"/>
      <c r="IG174" s="54"/>
      <c r="IH174" s="54"/>
      <c r="II174" s="54"/>
      <c r="IJ174" s="54"/>
      <c r="IK174" s="54"/>
      <c r="IL174" s="54"/>
      <c r="IM174" s="54"/>
      <c r="IN174" s="54"/>
      <c r="IO174" s="54"/>
      <c r="IP174" s="54"/>
      <c r="IQ174" s="54"/>
      <c r="IR174" s="54"/>
      <c r="IS174" s="54"/>
      <c r="IT174" s="54"/>
      <c r="IU174" s="55"/>
    </row>
  </sheetData>
  <mergeCells count="1">
    <mergeCell ref="D1:H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79"/>
  <sheetViews>
    <sheetView showGridLines="0" topLeftCell="A208" workbookViewId="0">
      <selection activeCell="D223" sqref="D223"/>
    </sheetView>
  </sheetViews>
  <sheetFormatPr baseColWidth="10" defaultColWidth="11.1640625" defaultRowHeight="16" customHeight="1"/>
  <cols>
    <col min="1" max="1" width="7" style="1" customWidth="1"/>
    <col min="2" max="2" width="11" style="1" customWidth="1"/>
    <col min="3" max="3" width="18.83203125" style="1" customWidth="1"/>
    <col min="4" max="5" width="18.5" style="1" customWidth="1"/>
    <col min="6" max="6" width="7" style="1" customWidth="1"/>
    <col min="7" max="7" width="5.5" style="1" customWidth="1"/>
    <col min="8" max="12" width="18.5" style="1" customWidth="1"/>
    <col min="13" max="256" width="11.1640625" style="1" customWidth="1"/>
  </cols>
  <sheetData>
    <row r="1" spans="1:17" ht="25" customHeight="1">
      <c r="A1" s="192"/>
      <c r="B1" s="57" t="s">
        <v>19</v>
      </c>
      <c r="C1" s="193"/>
      <c r="D1" s="619"/>
      <c r="E1" s="619"/>
      <c r="F1" s="619"/>
      <c r="G1" s="619"/>
      <c r="H1" s="619"/>
      <c r="I1" s="6"/>
      <c r="J1" s="5"/>
      <c r="K1" s="6"/>
      <c r="L1" s="6"/>
      <c r="M1" s="6"/>
      <c r="N1" s="6"/>
      <c r="O1" s="6"/>
      <c r="P1" s="6"/>
      <c r="Q1" s="7"/>
    </row>
    <row r="2" spans="1:17" ht="16" customHeight="1">
      <c r="A2" s="48"/>
      <c r="B2" s="196"/>
      <c r="C2" s="196"/>
      <c r="D2" s="115"/>
      <c r="E2" s="115"/>
      <c r="F2" s="115"/>
      <c r="G2" s="197" t="s">
        <v>64</v>
      </c>
      <c r="H2" s="198">
        <v>1</v>
      </c>
      <c r="I2" s="198">
        <v>2</v>
      </c>
      <c r="J2" s="198">
        <v>3</v>
      </c>
      <c r="K2" s="198">
        <v>4</v>
      </c>
      <c r="L2" s="198">
        <v>5</v>
      </c>
      <c r="M2" s="15"/>
      <c r="N2" s="15"/>
      <c r="O2" s="15"/>
      <c r="P2" s="15"/>
      <c r="Q2" s="16"/>
    </row>
    <row r="3" spans="1:17" ht="20" customHeight="1">
      <c r="A3" s="199"/>
      <c r="B3" s="557" t="str">
        <f>Introduction!D4&amp;" Costs"</f>
        <v>Unicorn Inc. Costs</v>
      </c>
      <c r="C3" s="201"/>
      <c r="D3" s="201"/>
      <c r="E3" s="201"/>
      <c r="F3" s="201"/>
      <c r="G3" s="202"/>
      <c r="H3" s="203" t="str">
        <f>"Year "&amp;H2</f>
        <v>Year 1</v>
      </c>
      <c r="I3" s="203" t="str">
        <f>"Year "&amp;I2</f>
        <v>Year 2</v>
      </c>
      <c r="J3" s="203" t="str">
        <f>"Year "&amp;J2</f>
        <v>Year 3</v>
      </c>
      <c r="K3" s="203" t="str">
        <f>"Year "&amp;K2</f>
        <v>Year 4</v>
      </c>
      <c r="L3" s="204" t="str">
        <f>"Year "&amp;L2</f>
        <v>Year 5</v>
      </c>
      <c r="M3" s="205"/>
      <c r="N3" s="15"/>
      <c r="O3" s="15"/>
      <c r="P3" s="15"/>
      <c r="Q3" s="16"/>
    </row>
    <row r="4" spans="1:17" ht="12" customHeight="1">
      <c r="A4" s="309"/>
      <c r="B4" s="310"/>
      <c r="C4" s="311"/>
      <c r="D4" s="311"/>
      <c r="E4" s="310"/>
      <c r="F4" s="311"/>
      <c r="G4" s="311"/>
      <c r="H4" s="312"/>
      <c r="I4" s="312"/>
      <c r="J4" s="312"/>
      <c r="K4" s="312"/>
      <c r="L4" s="312"/>
      <c r="M4" s="15"/>
      <c r="N4" s="15"/>
      <c r="O4" s="15"/>
      <c r="P4" s="15"/>
      <c r="Q4" s="16"/>
    </row>
    <row r="5" spans="1:17" ht="12" customHeight="1">
      <c r="A5" s="309"/>
      <c r="B5" s="313"/>
      <c r="C5" s="314"/>
      <c r="D5" s="314"/>
      <c r="E5" s="313"/>
      <c r="F5" s="314"/>
      <c r="G5" s="314"/>
      <c r="H5" s="315"/>
      <c r="I5" s="315"/>
      <c r="J5" s="315"/>
      <c r="K5" s="315"/>
      <c r="L5" s="315"/>
      <c r="M5" s="15"/>
      <c r="N5" s="15"/>
      <c r="O5" s="15"/>
      <c r="P5" s="15"/>
      <c r="Q5" s="16"/>
    </row>
    <row r="6" spans="1:17" ht="20" customHeight="1">
      <c r="A6" s="316"/>
      <c r="B6" s="317" t="s">
        <v>31</v>
      </c>
      <c r="C6" s="201"/>
      <c r="D6" s="201"/>
      <c r="E6" s="201"/>
      <c r="F6" s="201"/>
      <c r="G6" s="202"/>
      <c r="H6" s="212" t="str">
        <f t="shared" ref="H6:H145" si="0">H$3</f>
        <v>Year 1</v>
      </c>
      <c r="I6" s="212" t="str">
        <f>I$3</f>
        <v>Year 2</v>
      </c>
      <c r="J6" s="212" t="str">
        <f>J$3</f>
        <v>Year 3</v>
      </c>
      <c r="K6" s="212" t="str">
        <f>K$3</f>
        <v>Year 4</v>
      </c>
      <c r="L6" s="213" t="str">
        <f>L$3</f>
        <v>Year 5</v>
      </c>
      <c r="M6" s="14"/>
      <c r="N6" s="15"/>
      <c r="O6" s="15"/>
      <c r="P6" s="15"/>
      <c r="Q6" s="16"/>
    </row>
    <row r="7" spans="1:17" ht="19" customHeight="1">
      <c r="A7" s="133"/>
      <c r="B7" s="80" t="s">
        <v>94</v>
      </c>
      <c r="C7" s="318"/>
      <c r="D7" s="273"/>
      <c r="E7" s="273"/>
      <c r="F7" s="273"/>
      <c r="G7" s="319"/>
      <c r="H7" s="320"/>
      <c r="I7" s="321"/>
      <c r="J7" s="321"/>
      <c r="K7" s="321"/>
      <c r="L7" s="321"/>
      <c r="M7" s="14"/>
      <c r="N7" s="15"/>
      <c r="O7" s="15"/>
      <c r="P7" s="15"/>
      <c r="Q7" s="16"/>
    </row>
    <row r="8" spans="1:17" ht="16" customHeight="1">
      <c r="A8" s="133"/>
      <c r="B8" s="244"/>
      <c r="C8" s="188" t="s">
        <v>95</v>
      </c>
      <c r="D8" s="322"/>
      <c r="E8" s="267"/>
      <c r="F8" s="267"/>
      <c r="G8" s="323"/>
      <c r="H8" s="324"/>
      <c r="I8" s="224"/>
      <c r="J8" s="224"/>
      <c r="K8" s="224"/>
      <c r="L8" s="224"/>
      <c r="M8" s="14"/>
      <c r="N8" s="15"/>
      <c r="O8" s="15"/>
      <c r="P8" s="15"/>
      <c r="Q8" s="16"/>
    </row>
    <row r="9" spans="1:17" ht="16" customHeight="1">
      <c r="A9" s="325"/>
      <c r="B9" s="159"/>
      <c r="C9" s="233" t="s">
        <v>96</v>
      </c>
      <c r="D9" s="326">
        <v>65000</v>
      </c>
      <c r="E9" s="327"/>
      <c r="F9" s="328"/>
      <c r="G9" s="329"/>
      <c r="H9" s="330">
        <f>IF(G9&gt;0,G9*(1+$D11),IF($D10=H$2,($D9*$D12),0))</f>
        <v>65000</v>
      </c>
      <c r="I9" s="235">
        <f>IF(H9&gt;0,(H9/$D12)*(1+$D11),IF($D10=I$2,$D9,0))</f>
        <v>71500</v>
      </c>
      <c r="J9" s="235">
        <f>IF(I9&gt;0,I9*(1+$D11),IF($D10=J$2,$D9,0))</f>
        <v>78650</v>
      </c>
      <c r="K9" s="235">
        <f>IF(J9&gt;0,J9*(1+$D11),IF($D10=K$2,$D9,0))</f>
        <v>86515</v>
      </c>
      <c r="L9" s="235">
        <f>IF(K9&gt;0,K9*(1+$D11),IF($D10=L$2,$D9,0))</f>
        <v>95166.500000000015</v>
      </c>
      <c r="M9" s="331"/>
      <c r="N9" s="15"/>
      <c r="O9" s="15"/>
      <c r="P9" s="15"/>
      <c r="Q9" s="16"/>
    </row>
    <row r="10" spans="1:17" ht="16" customHeight="1">
      <c r="A10" s="133"/>
      <c r="B10" s="244"/>
      <c r="C10" s="233" t="s">
        <v>97</v>
      </c>
      <c r="D10" s="332">
        <v>1</v>
      </c>
      <c r="E10" s="272"/>
      <c r="F10" s="267"/>
      <c r="G10" s="323"/>
      <c r="H10" s="324"/>
      <c r="I10" s="224"/>
      <c r="J10" s="224"/>
      <c r="K10" s="224"/>
      <c r="L10" s="224"/>
      <c r="M10" s="14"/>
      <c r="N10" s="15"/>
      <c r="O10" s="15"/>
      <c r="P10" s="15"/>
      <c r="Q10" s="16"/>
    </row>
    <row r="11" spans="1:17" ht="16" customHeight="1">
      <c r="A11" s="133"/>
      <c r="B11" s="244"/>
      <c r="C11" s="233" t="s">
        <v>98</v>
      </c>
      <c r="D11" s="333">
        <v>0.1</v>
      </c>
      <c r="E11" s="272"/>
      <c r="F11" s="267"/>
      <c r="G11" s="323"/>
      <c r="H11" s="324"/>
      <c r="I11" s="224"/>
      <c r="J11" s="224"/>
      <c r="K11" s="224"/>
      <c r="L11" s="224"/>
      <c r="M11" s="14"/>
      <c r="N11" s="15"/>
      <c r="O11" s="15"/>
      <c r="P11" s="15"/>
      <c r="Q11" s="16"/>
    </row>
    <row r="12" spans="1:17" ht="16" customHeight="1">
      <c r="A12" s="133"/>
      <c r="B12" s="244"/>
      <c r="C12" s="233" t="s">
        <v>99</v>
      </c>
      <c r="D12" s="254">
        <v>1</v>
      </c>
      <c r="E12" s="272"/>
      <c r="F12" s="267"/>
      <c r="G12" s="323"/>
      <c r="H12" s="324"/>
      <c r="I12" s="224"/>
      <c r="J12" s="224"/>
      <c r="K12" s="224"/>
      <c r="L12" s="224"/>
      <c r="M12" s="14"/>
      <c r="N12" s="15"/>
      <c r="O12" s="15"/>
      <c r="P12" s="15"/>
      <c r="Q12" s="16"/>
    </row>
    <row r="13" spans="1:17" ht="16" customHeight="1">
      <c r="A13" s="133"/>
      <c r="B13" s="244"/>
      <c r="C13" s="334" t="s">
        <v>100</v>
      </c>
      <c r="D13" s="15"/>
      <c r="E13" s="267"/>
      <c r="F13" s="267"/>
      <c r="G13" s="323"/>
      <c r="H13" s="335">
        <f>IF(H$2&gt;=$D10,1,0)</f>
        <v>1</v>
      </c>
      <c r="I13" s="336">
        <f>IF(I$2&gt;=$D10,1,0)</f>
        <v>1</v>
      </c>
      <c r="J13" s="336">
        <f>IF(J$2&gt;=$D10,1,0)</f>
        <v>1</v>
      </c>
      <c r="K13" s="336">
        <f>IF(K$2&gt;=$D10,1,0)</f>
        <v>1</v>
      </c>
      <c r="L13" s="336">
        <f>IF(L$2&gt;=$D10,1,0)</f>
        <v>1</v>
      </c>
      <c r="M13" s="14"/>
      <c r="N13" s="15"/>
      <c r="O13" s="15"/>
      <c r="P13" s="15"/>
      <c r="Q13" s="16"/>
    </row>
    <row r="14" spans="1:17" ht="16" customHeight="1">
      <c r="A14" s="133"/>
      <c r="B14" s="244"/>
      <c r="C14" s="267"/>
      <c r="D14" s="15"/>
      <c r="E14" s="267"/>
      <c r="F14" s="267"/>
      <c r="G14" s="323"/>
      <c r="H14" s="324"/>
      <c r="I14" s="224"/>
      <c r="J14" s="224"/>
      <c r="K14" s="224"/>
      <c r="L14" s="224"/>
      <c r="M14" s="14"/>
      <c r="N14" s="15"/>
      <c r="O14" s="15"/>
      <c r="P14" s="15"/>
      <c r="Q14" s="16"/>
    </row>
    <row r="15" spans="1:17" ht="16" customHeight="1">
      <c r="A15" s="133"/>
      <c r="B15" s="244"/>
      <c r="C15" s="188" t="s">
        <v>269</v>
      </c>
      <c r="D15" s="322"/>
      <c r="E15" s="267"/>
      <c r="F15" s="267"/>
      <c r="G15" s="323"/>
      <c r="H15" s="324"/>
      <c r="I15" s="224"/>
      <c r="J15" s="224"/>
      <c r="K15" s="224"/>
      <c r="L15" s="224"/>
      <c r="M15" s="14"/>
      <c r="N15" s="15"/>
      <c r="O15" s="15"/>
      <c r="P15" s="15"/>
      <c r="Q15" s="16"/>
    </row>
    <row r="16" spans="1:17" ht="16" customHeight="1">
      <c r="A16" s="325"/>
      <c r="B16" s="159"/>
      <c r="C16" s="233" t="s">
        <v>96</v>
      </c>
      <c r="D16" s="326">
        <v>65000</v>
      </c>
      <c r="E16" s="327"/>
      <c r="F16" s="328"/>
      <c r="G16" s="329"/>
      <c r="H16" s="330">
        <f>IF(G16&gt;0,G16*(1+$D18),IF($D17=H$2,($D16*$D19),0))</f>
        <v>65000</v>
      </c>
      <c r="I16" s="235">
        <f>IF(H16&gt;0,(H16/$D19)*(1+$D18),IF($D17=I$2,$D16,0))</f>
        <v>71500</v>
      </c>
      <c r="J16" s="235">
        <f>IF(I16&gt;0,I16*(1+$D18),IF($D17=J$2,$D16,0))</f>
        <v>78650</v>
      </c>
      <c r="K16" s="235">
        <f>IF(J16&gt;0,J16*(1+$D18),IF($D17=K$2,$D16,0))</f>
        <v>86515</v>
      </c>
      <c r="L16" s="235">
        <f>IF(K16&gt;0,K16*(1+$D18),IF($D17=L$2,$D16,0))</f>
        <v>95166.500000000015</v>
      </c>
      <c r="M16" s="331"/>
      <c r="N16" s="15"/>
      <c r="O16" s="15"/>
      <c r="P16" s="15"/>
      <c r="Q16" s="16"/>
    </row>
    <row r="17" spans="1:17" ht="16" customHeight="1">
      <c r="A17" s="133"/>
      <c r="B17" s="244"/>
      <c r="C17" s="233" t="s">
        <v>97</v>
      </c>
      <c r="D17" s="332">
        <v>1</v>
      </c>
      <c r="E17" s="272"/>
      <c r="F17" s="267"/>
      <c r="G17" s="323"/>
      <c r="H17" s="324"/>
      <c r="I17" s="224"/>
      <c r="J17" s="224"/>
      <c r="K17" s="224"/>
      <c r="L17" s="224"/>
      <c r="M17" s="14"/>
      <c r="N17" s="15"/>
      <c r="O17" s="15"/>
      <c r="P17" s="15"/>
      <c r="Q17" s="16"/>
    </row>
    <row r="18" spans="1:17" ht="16" customHeight="1">
      <c r="A18" s="133"/>
      <c r="B18" s="244"/>
      <c r="C18" s="233" t="s">
        <v>98</v>
      </c>
      <c r="D18" s="333">
        <v>0.1</v>
      </c>
      <c r="E18" s="272"/>
      <c r="F18" s="267"/>
      <c r="G18" s="323"/>
      <c r="H18" s="324"/>
      <c r="I18" s="224"/>
      <c r="J18" s="224"/>
      <c r="K18" s="224"/>
      <c r="L18" s="224"/>
      <c r="M18" s="14"/>
      <c r="N18" s="15"/>
      <c r="O18" s="15"/>
      <c r="P18" s="15"/>
      <c r="Q18" s="16"/>
    </row>
    <row r="19" spans="1:17" ht="16" customHeight="1">
      <c r="A19" s="133"/>
      <c r="B19" s="244"/>
      <c r="C19" s="233" t="s">
        <v>99</v>
      </c>
      <c r="D19" s="254">
        <v>1</v>
      </c>
      <c r="E19" s="272"/>
      <c r="F19" s="267"/>
      <c r="G19" s="323"/>
      <c r="H19" s="324"/>
      <c r="I19" s="224"/>
      <c r="J19" s="224"/>
      <c r="K19" s="224"/>
      <c r="L19" s="224"/>
      <c r="M19" s="14"/>
      <c r="N19" s="15"/>
      <c r="O19" s="15"/>
      <c r="P19" s="15"/>
      <c r="Q19" s="16"/>
    </row>
    <row r="20" spans="1:17" ht="16" customHeight="1">
      <c r="A20" s="133"/>
      <c r="B20" s="244"/>
      <c r="C20" s="334" t="s">
        <v>100</v>
      </c>
      <c r="D20" s="15"/>
      <c r="E20" s="267"/>
      <c r="F20" s="267"/>
      <c r="G20" s="323"/>
      <c r="H20" s="335">
        <f>IF(H$2&gt;=$D17,1,0)</f>
        <v>1</v>
      </c>
      <c r="I20" s="336">
        <f>IF(I$2&gt;=$D17,1,0)</f>
        <v>1</v>
      </c>
      <c r="J20" s="336">
        <f>IF(J$2&gt;=$D17,1,0)</f>
        <v>1</v>
      </c>
      <c r="K20" s="336">
        <f>IF(K$2&gt;=$D17,1,0)</f>
        <v>1</v>
      </c>
      <c r="L20" s="336">
        <f>IF(L$2&gt;=$D17,1,0)</f>
        <v>1</v>
      </c>
      <c r="M20" s="14"/>
      <c r="N20" s="15"/>
      <c r="O20" s="15"/>
      <c r="P20" s="15"/>
      <c r="Q20" s="16"/>
    </row>
    <row r="21" spans="1:17" ht="16" customHeight="1">
      <c r="A21" s="133"/>
      <c r="B21" s="244"/>
      <c r="C21" s="35"/>
      <c r="D21" s="267"/>
      <c r="E21" s="267"/>
      <c r="F21" s="267"/>
      <c r="G21" s="323"/>
      <c r="H21" s="324"/>
      <c r="I21" s="224"/>
      <c r="J21" s="224"/>
      <c r="K21" s="224"/>
      <c r="L21" s="224"/>
      <c r="M21" s="14"/>
      <c r="N21" s="15"/>
      <c r="O21" s="15"/>
      <c r="P21" s="15"/>
      <c r="Q21" s="16"/>
    </row>
    <row r="22" spans="1:17" ht="16" customHeight="1">
      <c r="A22" s="133"/>
      <c r="B22" s="244"/>
      <c r="C22" s="188" t="s">
        <v>101</v>
      </c>
      <c r="D22" s="322"/>
      <c r="E22" s="267"/>
      <c r="F22" s="267"/>
      <c r="G22" s="323"/>
      <c r="H22" s="324"/>
      <c r="I22" s="224"/>
      <c r="J22" s="224"/>
      <c r="K22" s="224"/>
      <c r="L22" s="224"/>
      <c r="M22" s="14"/>
      <c r="N22" s="15"/>
      <c r="O22" s="15"/>
      <c r="P22" s="15"/>
      <c r="Q22" s="16"/>
    </row>
    <row r="23" spans="1:17" ht="16" customHeight="1">
      <c r="A23" s="325"/>
      <c r="B23" s="159"/>
      <c r="C23" s="233" t="s">
        <v>96</v>
      </c>
      <c r="D23" s="326">
        <v>65000</v>
      </c>
      <c r="E23" s="327"/>
      <c r="F23" s="328"/>
      <c r="G23" s="329"/>
      <c r="H23" s="330">
        <f>$D23*(1+$D25)^(H2-1)*H26</f>
        <v>65000</v>
      </c>
      <c r="I23" s="235">
        <f>$D23*(1+$D25)^(I2-1)*I26</f>
        <v>71500</v>
      </c>
      <c r="J23" s="235">
        <f>$D23*(1+$D25)^(J2-1)*J26</f>
        <v>78650.000000000015</v>
      </c>
      <c r="K23" s="235">
        <f>$D23*(1+$D25)^(K2-1)*K26</f>
        <v>86515.000000000029</v>
      </c>
      <c r="L23" s="235">
        <f>$D23*(1+$D25)^(L2-1)*L26</f>
        <v>95166.500000000029</v>
      </c>
      <c r="M23" s="331"/>
      <c r="N23" s="15"/>
      <c r="O23" s="15"/>
      <c r="P23" s="15"/>
      <c r="Q23" s="16"/>
    </row>
    <row r="24" spans="1:17" ht="16" customHeight="1">
      <c r="A24" s="133"/>
      <c r="B24" s="244"/>
      <c r="C24" s="233" t="s">
        <v>97</v>
      </c>
      <c r="D24" s="332">
        <v>1</v>
      </c>
      <c r="E24" s="272"/>
      <c r="F24" s="267"/>
      <c r="G24" s="323"/>
      <c r="H24" s="324"/>
      <c r="I24" s="224"/>
      <c r="J24" s="224"/>
      <c r="K24" s="224"/>
      <c r="L24" s="224"/>
      <c r="M24" s="14"/>
      <c r="N24" s="15"/>
      <c r="O24" s="15"/>
      <c r="P24" s="15"/>
      <c r="Q24" s="16"/>
    </row>
    <row r="25" spans="1:17" ht="16" customHeight="1">
      <c r="A25" s="133"/>
      <c r="B25" s="244"/>
      <c r="C25" s="233" t="s">
        <v>98</v>
      </c>
      <c r="D25" s="333">
        <v>0.1</v>
      </c>
      <c r="E25" s="272"/>
      <c r="F25" s="267"/>
      <c r="G25" s="323"/>
      <c r="H25" s="324"/>
      <c r="I25" s="224"/>
      <c r="J25" s="224"/>
      <c r="K25" s="224"/>
      <c r="L25" s="224"/>
      <c r="M25" s="14"/>
      <c r="N25" s="15"/>
      <c r="O25" s="15"/>
      <c r="P25" s="15"/>
      <c r="Q25" s="16"/>
    </row>
    <row r="26" spans="1:17" ht="16" customHeight="1">
      <c r="A26" s="133"/>
      <c r="B26" s="244"/>
      <c r="C26" s="334" t="s">
        <v>100</v>
      </c>
      <c r="D26" s="15"/>
      <c r="E26" s="267"/>
      <c r="F26" s="267"/>
      <c r="G26" s="323"/>
      <c r="H26" s="335">
        <f>IF(H$2&gt;=$D24,1,0)</f>
        <v>1</v>
      </c>
      <c r="I26" s="336">
        <f>IF(I$2&gt;=$D24,1,0)</f>
        <v>1</v>
      </c>
      <c r="J26" s="336">
        <f>IF(J$2&gt;=$D24,1,0)</f>
        <v>1</v>
      </c>
      <c r="K26" s="336">
        <f>IF(K$2&gt;=$D24,1,0)</f>
        <v>1</v>
      </c>
      <c r="L26" s="337">
        <f>IF(L$2&gt;=$D24,1,0)</f>
        <v>1</v>
      </c>
      <c r="M26" s="230"/>
      <c r="N26" s="15"/>
      <c r="O26" s="15"/>
      <c r="P26" s="15"/>
      <c r="Q26" s="16"/>
    </row>
    <row r="27" spans="1:17" ht="16" customHeight="1">
      <c r="A27" s="133"/>
      <c r="B27" s="244"/>
      <c r="C27" s="35"/>
      <c r="D27" s="267"/>
      <c r="E27" s="267"/>
      <c r="F27" s="267"/>
      <c r="G27" s="323"/>
      <c r="H27" s="324"/>
      <c r="I27" s="224"/>
      <c r="J27" s="224"/>
      <c r="K27" s="224"/>
      <c r="L27" s="224"/>
      <c r="M27" s="14"/>
      <c r="N27" s="15"/>
      <c r="O27" s="15"/>
      <c r="P27" s="15"/>
      <c r="Q27" s="16"/>
    </row>
    <row r="28" spans="1:17" ht="16" customHeight="1">
      <c r="A28" s="133"/>
      <c r="B28" s="343" t="str">
        <f>"Total "&amp;B7&amp;" Headcount"</f>
        <v>Total Executives Headcount</v>
      </c>
      <c r="C28" s="344"/>
      <c r="D28" s="344"/>
      <c r="E28" s="344"/>
      <c r="F28" s="344"/>
      <c r="G28" s="345"/>
      <c r="H28" s="346">
        <f>SUM(H26,H20,H13)</f>
        <v>3</v>
      </c>
      <c r="I28" s="346">
        <f t="shared" ref="I28:L28" si="1">SUM(I26,I20,I13)</f>
        <v>3</v>
      </c>
      <c r="J28" s="346">
        <f t="shared" si="1"/>
        <v>3</v>
      </c>
      <c r="K28" s="346">
        <f t="shared" si="1"/>
        <v>3</v>
      </c>
      <c r="L28" s="346">
        <f t="shared" si="1"/>
        <v>3</v>
      </c>
      <c r="M28" s="14"/>
      <c r="N28" s="15"/>
      <c r="O28" s="15"/>
      <c r="P28" s="15"/>
      <c r="Q28" s="16"/>
    </row>
    <row r="29" spans="1:17" ht="16" customHeight="1">
      <c r="A29" s="133"/>
      <c r="B29" s="348" t="str">
        <f>"Total "&amp;B7&amp;" Salaries"</f>
        <v>Total Executives Salaries</v>
      </c>
      <c r="C29" s="344"/>
      <c r="D29" s="344"/>
      <c r="E29" s="344"/>
      <c r="F29" s="344"/>
      <c r="G29" s="345"/>
      <c r="H29" s="349">
        <f>SUM(H23,H16,H9)</f>
        <v>195000</v>
      </c>
      <c r="I29" s="349">
        <f>SUM(I23,I16,I9)</f>
        <v>214500</v>
      </c>
      <c r="J29" s="349">
        <f>SUM(J23,J16,J9)</f>
        <v>235950</v>
      </c>
      <c r="K29" s="349">
        <f>SUM(K23,K16,K9)</f>
        <v>259545.00000000003</v>
      </c>
      <c r="L29" s="349">
        <f>SUM(L23,L16,L9)</f>
        <v>285499.50000000006</v>
      </c>
      <c r="M29" s="14"/>
      <c r="N29" s="15"/>
      <c r="O29" s="15"/>
      <c r="P29" s="15"/>
      <c r="Q29" s="16"/>
    </row>
    <row r="30" spans="1:17" ht="16" customHeight="1">
      <c r="A30" s="133"/>
      <c r="B30" s="95" t="s">
        <v>32</v>
      </c>
      <c r="C30" s="135"/>
      <c r="D30" s="135"/>
      <c r="E30" s="135"/>
      <c r="F30" s="135"/>
      <c r="G30" s="351"/>
      <c r="H30" s="352">
        <f>H29/Revenue!H$123</f>
        <v>0.18696366288754801</v>
      </c>
      <c r="I30" s="353">
        <f>I29/Revenue!I$123</f>
        <v>9.9608980320561244E-2</v>
      </c>
      <c r="J30" s="353">
        <f>J29/Revenue!J$123</f>
        <v>6.1671894121265003E-2</v>
      </c>
      <c r="K30" s="353">
        <f>K29/Revenue!K$123</f>
        <v>4.0216171986689281E-2</v>
      </c>
      <c r="L30" s="353">
        <f>L29/Revenue!L$123</f>
        <v>2.658278485186346E-2</v>
      </c>
      <c r="M30" s="244"/>
      <c r="N30" s="15"/>
      <c r="O30" s="15"/>
      <c r="P30" s="15"/>
      <c r="Q30" s="16"/>
    </row>
    <row r="31" spans="1:17" ht="16" customHeight="1">
      <c r="A31" s="133"/>
      <c r="B31" s="244"/>
      <c r="C31" s="35"/>
      <c r="D31" s="267"/>
      <c r="E31" s="267"/>
      <c r="F31" s="267"/>
      <c r="G31" s="323"/>
      <c r="H31" s="324"/>
      <c r="I31" s="224"/>
      <c r="J31" s="224"/>
      <c r="K31" s="224"/>
      <c r="L31" s="224"/>
      <c r="M31" s="14"/>
      <c r="N31" s="15"/>
      <c r="O31" s="15"/>
      <c r="P31" s="15"/>
      <c r="Q31" s="16"/>
    </row>
    <row r="32" spans="1:17" ht="19" customHeight="1">
      <c r="A32" s="133"/>
      <c r="B32" s="124" t="s">
        <v>102</v>
      </c>
      <c r="C32" s="35"/>
      <c r="D32" s="267"/>
      <c r="E32" s="267"/>
      <c r="F32" s="267"/>
      <c r="G32" s="323"/>
      <c r="H32" s="324"/>
      <c r="I32" s="224"/>
      <c r="J32" s="224"/>
      <c r="K32" s="224"/>
      <c r="L32" s="224"/>
      <c r="M32" s="14"/>
      <c r="N32" s="15"/>
      <c r="O32" s="15"/>
      <c r="P32" s="15"/>
      <c r="Q32" s="16"/>
    </row>
    <row r="33" spans="1:17" ht="16" customHeight="1">
      <c r="A33" s="133"/>
      <c r="B33" s="244"/>
      <c r="C33" s="188" t="s">
        <v>103</v>
      </c>
      <c r="D33" s="322"/>
      <c r="E33" s="267"/>
      <c r="F33" s="267"/>
      <c r="G33" s="323"/>
      <c r="H33" s="354"/>
      <c r="I33" s="355"/>
      <c r="J33" s="355"/>
      <c r="K33" s="355"/>
      <c r="L33" s="355"/>
      <c r="M33" s="14"/>
      <c r="N33" s="15"/>
      <c r="O33" s="15"/>
      <c r="P33" s="15"/>
      <c r="Q33" s="16"/>
    </row>
    <row r="34" spans="1:17" ht="16" customHeight="1">
      <c r="A34" s="133"/>
      <c r="B34" s="244"/>
      <c r="C34" s="233" t="s">
        <v>104</v>
      </c>
      <c r="D34" s="326">
        <v>50000</v>
      </c>
      <c r="E34" s="356"/>
      <c r="F34" s="357"/>
      <c r="G34" s="358"/>
      <c r="H34" s="324"/>
      <c r="I34" s="224"/>
      <c r="J34" s="224"/>
      <c r="K34" s="224"/>
      <c r="L34" s="224"/>
      <c r="M34" s="331"/>
      <c r="N34" s="359"/>
      <c r="O34" s="359"/>
      <c r="P34" s="359"/>
      <c r="Q34" s="360"/>
    </row>
    <row r="35" spans="1:17" ht="16" customHeight="1">
      <c r="A35" s="133"/>
      <c r="B35" s="14"/>
      <c r="C35" s="233" t="s">
        <v>98</v>
      </c>
      <c r="D35" s="333">
        <v>0.02</v>
      </c>
      <c r="E35" s="232"/>
      <c r="F35" s="221"/>
      <c r="G35" s="323"/>
      <c r="H35" s="374"/>
      <c r="I35" s="375"/>
      <c r="J35" s="375"/>
      <c r="K35" s="375"/>
      <c r="L35" s="375"/>
      <c r="M35" s="14"/>
      <c r="N35" s="15"/>
      <c r="O35" s="15"/>
      <c r="P35" s="15"/>
      <c r="Q35" s="16"/>
    </row>
    <row r="36" spans="1:17" ht="16" customHeight="1">
      <c r="A36" s="133"/>
      <c r="B36" s="244"/>
      <c r="C36" s="233" t="s">
        <v>105</v>
      </c>
      <c r="D36" s="277">
        <v>20</v>
      </c>
      <c r="E36" s="356"/>
      <c r="F36" s="357"/>
      <c r="G36" s="358"/>
      <c r="H36" s="324"/>
      <c r="I36" s="224"/>
      <c r="J36" s="224"/>
      <c r="K36" s="224"/>
      <c r="L36" s="224"/>
      <c r="M36" s="361"/>
      <c r="N36" s="359"/>
      <c r="O36" s="359"/>
      <c r="P36" s="359"/>
      <c r="Q36" s="360"/>
    </row>
    <row r="37" spans="1:17" ht="16" customHeight="1">
      <c r="A37" s="133"/>
      <c r="B37" s="244"/>
      <c r="C37" s="334" t="s">
        <v>106</v>
      </c>
      <c r="D37" s="221"/>
      <c r="E37" s="221"/>
      <c r="F37" s="221"/>
      <c r="G37" s="323"/>
      <c r="H37" s="362">
        <f>MAX(0,ROUND(SUM(H50,H58,H58,H71,H77,H91,H100,H114)/$D36,0)-3)</f>
        <v>0</v>
      </c>
      <c r="I37" s="362">
        <f>MAX(0,ROUND(SUM(I50,I58,I58,I71,I77,I91,I100,I114)/$D36,0)-3)</f>
        <v>0</v>
      </c>
      <c r="J37" s="362">
        <f>MAX(0,ROUND(SUM(J50,J58,J58,J71,J77,J91,J100,J114)/$D36,0)-3)</f>
        <v>0</v>
      </c>
      <c r="K37" s="362">
        <f>MAX(0,ROUND(SUM(K50,K58,K58,K71,K77,K91,K100,K114)/$D36,0)-3)</f>
        <v>1</v>
      </c>
      <c r="L37" s="362">
        <f>MAX(0,ROUND(SUM(L50,L58,L58,L71,L77,L91,L100,L114)/$D36,0)-3)</f>
        <v>3</v>
      </c>
      <c r="M37" s="244"/>
      <c r="N37" s="15"/>
      <c r="O37" s="15"/>
      <c r="P37" s="15"/>
      <c r="Q37" s="16"/>
    </row>
    <row r="38" spans="1:17" ht="16" customHeight="1">
      <c r="A38" s="133"/>
      <c r="B38" s="244"/>
      <c r="C38" s="334" t="s">
        <v>107</v>
      </c>
      <c r="D38" s="357"/>
      <c r="E38" s="357"/>
      <c r="F38" s="357"/>
      <c r="G38" s="358"/>
      <c r="H38" s="330">
        <f>H37*$D34*((1+$D35)^(H2-1))</f>
        <v>0</v>
      </c>
      <c r="I38" s="330">
        <f>I37*$D34*((1+$D35)^(I2-1))</f>
        <v>0</v>
      </c>
      <c r="J38" s="330">
        <f>J37*$D34*((1+$D35)^(J2-1))</f>
        <v>0</v>
      </c>
      <c r="K38" s="330">
        <f>K37*$D34*((1+$D35)^(K2-1))</f>
        <v>53060.399999999994</v>
      </c>
      <c r="L38" s="330">
        <f>L37*$D34*((1+$D35)^(L2-1))</f>
        <v>162364.82399999999</v>
      </c>
      <c r="M38" s="14"/>
      <c r="N38" s="15"/>
      <c r="O38" s="15"/>
      <c r="P38" s="15"/>
      <c r="Q38" s="16"/>
    </row>
    <row r="39" spans="1:17" ht="16" customHeight="1">
      <c r="A39" s="133"/>
      <c r="B39" s="338"/>
      <c r="C39" s="255"/>
      <c r="D39" s="339"/>
      <c r="E39" s="339"/>
      <c r="F39" s="339"/>
      <c r="G39" s="340"/>
      <c r="H39" s="341"/>
      <c r="I39" s="342"/>
      <c r="J39" s="342"/>
      <c r="K39" s="342"/>
      <c r="L39" s="342"/>
      <c r="M39" s="14"/>
      <c r="N39" s="15"/>
      <c r="O39" s="15"/>
      <c r="P39" s="15"/>
      <c r="Q39" s="16"/>
    </row>
    <row r="40" spans="1:17" ht="16" customHeight="1">
      <c r="A40" s="133"/>
      <c r="B40" s="343" t="str">
        <f>"Total "&amp;B32&amp;" Headcount"</f>
        <v>Total Management Headcount</v>
      </c>
      <c r="C40" s="344"/>
      <c r="D40" s="344"/>
      <c r="E40" s="344"/>
      <c r="F40" s="344"/>
      <c r="G40" s="345"/>
      <c r="H40" s="346">
        <f t="shared" ref="H40:L41" si="2">H37</f>
        <v>0</v>
      </c>
      <c r="I40" s="347">
        <f t="shared" si="2"/>
        <v>0</v>
      </c>
      <c r="J40" s="347">
        <f t="shared" si="2"/>
        <v>0</v>
      </c>
      <c r="K40" s="347">
        <f t="shared" si="2"/>
        <v>1</v>
      </c>
      <c r="L40" s="347">
        <f t="shared" si="2"/>
        <v>3</v>
      </c>
      <c r="M40" s="14"/>
      <c r="N40" s="15"/>
      <c r="O40" s="15"/>
      <c r="P40" s="15"/>
      <c r="Q40" s="16"/>
    </row>
    <row r="41" spans="1:17" ht="16" customHeight="1">
      <c r="A41" s="133"/>
      <c r="B41" s="348" t="str">
        <f>"Total "&amp;B32&amp;" Salaries"</f>
        <v>Total Management Salaries</v>
      </c>
      <c r="C41" s="344"/>
      <c r="D41" s="344"/>
      <c r="E41" s="344"/>
      <c r="F41" s="344"/>
      <c r="G41" s="345"/>
      <c r="H41" s="349">
        <f t="shared" si="2"/>
        <v>0</v>
      </c>
      <c r="I41" s="350">
        <f t="shared" si="2"/>
        <v>0</v>
      </c>
      <c r="J41" s="350">
        <f t="shared" si="2"/>
        <v>0</v>
      </c>
      <c r="K41" s="350">
        <f t="shared" si="2"/>
        <v>53060.399999999994</v>
      </c>
      <c r="L41" s="350">
        <f t="shared" si="2"/>
        <v>162364.82399999999</v>
      </c>
      <c r="M41" s="14"/>
      <c r="N41" s="15"/>
      <c r="O41" s="15"/>
      <c r="P41" s="15"/>
      <c r="Q41" s="16"/>
    </row>
    <row r="42" spans="1:17" ht="16" customHeight="1">
      <c r="A42" s="133"/>
      <c r="B42" s="95" t="s">
        <v>32</v>
      </c>
      <c r="C42" s="135"/>
      <c r="D42" s="135"/>
      <c r="E42" s="135"/>
      <c r="F42" s="135"/>
      <c r="G42" s="351"/>
      <c r="H42" s="352">
        <f>H41/Revenue!H$123</f>
        <v>0</v>
      </c>
      <c r="I42" s="353">
        <f>I41/Revenue!I$123</f>
        <v>0</v>
      </c>
      <c r="J42" s="353">
        <f>J41/Revenue!J$123</f>
        <v>0</v>
      </c>
      <c r="K42" s="353">
        <f>K41/Revenue!K$123</f>
        <v>8.2216423821785331E-3</v>
      </c>
      <c r="L42" s="353">
        <f>L41/Revenue!L$123</f>
        <v>1.5117746909898882E-2</v>
      </c>
      <c r="M42" s="244"/>
      <c r="N42" s="15"/>
      <c r="O42" s="15"/>
      <c r="P42" s="15"/>
      <c r="Q42" s="16"/>
    </row>
    <row r="43" spans="1:17" ht="16" customHeight="1">
      <c r="A43" s="133"/>
      <c r="B43" s="244"/>
      <c r="C43" s="35"/>
      <c r="D43" s="267"/>
      <c r="E43" s="267"/>
      <c r="F43" s="267"/>
      <c r="G43" s="323"/>
      <c r="H43" s="324"/>
      <c r="I43" s="224"/>
      <c r="J43" s="224"/>
      <c r="K43" s="224"/>
      <c r="L43" s="224"/>
      <c r="M43" s="14"/>
      <c r="N43" s="15"/>
      <c r="O43" s="15"/>
      <c r="P43" s="15"/>
      <c r="Q43" s="16"/>
    </row>
    <row r="44" spans="1:17" ht="19" customHeight="1">
      <c r="A44" s="133"/>
      <c r="B44" s="124" t="s">
        <v>108</v>
      </c>
      <c r="C44" s="35"/>
      <c r="D44" s="267"/>
      <c r="E44" s="267"/>
      <c r="F44" s="267"/>
      <c r="G44" s="323"/>
      <c r="H44" s="324"/>
      <c r="I44" s="224"/>
      <c r="J44" s="224"/>
      <c r="K44" s="224"/>
      <c r="L44" s="224"/>
      <c r="M44" s="14"/>
      <c r="N44" s="15"/>
      <c r="O44" s="15"/>
      <c r="P44" s="15"/>
      <c r="Q44" s="16"/>
    </row>
    <row r="45" spans="1:17" ht="16" customHeight="1">
      <c r="A45" s="133"/>
      <c r="B45" s="14"/>
      <c r="C45" s="364" t="s">
        <v>109</v>
      </c>
      <c r="D45" s="365"/>
      <c r="E45" s="366"/>
      <c r="F45" s="366"/>
      <c r="G45" s="367"/>
      <c r="H45" s="368"/>
      <c r="I45" s="369"/>
      <c r="J45" s="369"/>
      <c r="K45" s="370"/>
      <c r="L45" s="369"/>
      <c r="M45" s="371"/>
      <c r="N45" s="372"/>
      <c r="O45" s="372"/>
      <c r="P45" s="372"/>
      <c r="Q45" s="373"/>
    </row>
    <row r="46" spans="1:17" ht="16" customHeight="1">
      <c r="A46" s="133"/>
      <c r="B46" s="14"/>
      <c r="C46" s="233" t="s">
        <v>96</v>
      </c>
      <c r="D46" s="326">
        <v>40000</v>
      </c>
      <c r="E46" s="356"/>
      <c r="F46" s="357"/>
      <c r="G46" s="358"/>
      <c r="H46" s="330">
        <f>IF(G46&gt;0,G46*(1+$D48),IF($D47=H$2,($D46*$D49),0))</f>
        <v>0</v>
      </c>
      <c r="I46" s="235">
        <f>IF(H46&gt;0,(H46/$D49)*(1+$D48),IF($D47=I$2,$D46,0))</f>
        <v>40000</v>
      </c>
      <c r="J46" s="235">
        <f>IF(I46&gt;0,I46*(1+$D48),IF($D47=J$2,$D46,0))</f>
        <v>40800</v>
      </c>
      <c r="K46" s="235">
        <f>IF(J46&gt;0,J46*(1+$D48),IF($D47=K$2,$D46,0))</f>
        <v>41616</v>
      </c>
      <c r="L46" s="235">
        <f>IF(K46&gt;0,K46*(1+$D48),IF($D47=L$2,$D46,0))</f>
        <v>42448.32</v>
      </c>
      <c r="M46" s="331"/>
      <c r="N46" s="15"/>
      <c r="O46" s="15"/>
      <c r="P46" s="15"/>
      <c r="Q46" s="16"/>
    </row>
    <row r="47" spans="1:17" ht="16" customHeight="1">
      <c r="A47" s="133"/>
      <c r="B47" s="14"/>
      <c r="C47" s="233" t="s">
        <v>97</v>
      </c>
      <c r="D47" s="332">
        <v>2</v>
      </c>
      <c r="E47" s="232"/>
      <c r="F47" s="221"/>
      <c r="G47" s="323"/>
      <c r="H47" s="374"/>
      <c r="I47" s="375"/>
      <c r="J47" s="375"/>
      <c r="K47" s="375"/>
      <c r="L47" s="375"/>
      <c r="M47" s="14"/>
      <c r="N47" s="15"/>
      <c r="O47" s="15"/>
      <c r="P47" s="15"/>
      <c r="Q47" s="16"/>
    </row>
    <row r="48" spans="1:17" ht="16" customHeight="1">
      <c r="A48" s="133"/>
      <c r="B48" s="14"/>
      <c r="C48" s="233" t="s">
        <v>98</v>
      </c>
      <c r="D48" s="333">
        <v>0.02</v>
      </c>
      <c r="E48" s="232"/>
      <c r="F48" s="221"/>
      <c r="G48" s="323"/>
      <c r="H48" s="374"/>
      <c r="I48" s="375"/>
      <c r="J48" s="375"/>
      <c r="K48" s="375"/>
      <c r="L48" s="375"/>
      <c r="M48" s="14"/>
      <c r="N48" s="15"/>
      <c r="O48" s="15"/>
      <c r="P48" s="15"/>
      <c r="Q48" s="16"/>
    </row>
    <row r="49" spans="1:17" ht="16" customHeight="1">
      <c r="A49" s="133"/>
      <c r="B49" s="14"/>
      <c r="C49" s="233" t="s">
        <v>99</v>
      </c>
      <c r="D49" s="254">
        <v>1</v>
      </c>
      <c r="E49" s="232"/>
      <c r="F49" s="221"/>
      <c r="G49" s="323"/>
      <c r="H49" s="374"/>
      <c r="I49" s="375"/>
      <c r="J49" s="375"/>
      <c r="K49" s="375"/>
      <c r="L49" s="375"/>
      <c r="M49" s="14"/>
      <c r="N49" s="15"/>
      <c r="O49" s="15"/>
      <c r="P49" s="15"/>
      <c r="Q49" s="16"/>
    </row>
    <row r="50" spans="1:17" ht="16" customHeight="1">
      <c r="A50" s="133"/>
      <c r="B50" s="14"/>
      <c r="C50" s="334" t="s">
        <v>100</v>
      </c>
      <c r="D50" s="15"/>
      <c r="E50" s="221"/>
      <c r="F50" s="221"/>
      <c r="G50" s="323"/>
      <c r="H50" s="376">
        <f>IF(H46&gt;0,1,0)</f>
        <v>0</v>
      </c>
      <c r="I50" s="249">
        <f>IF(I46&gt;0,1,0)</f>
        <v>1</v>
      </c>
      <c r="J50" s="249">
        <f>IF(J46&gt;0,1,0)</f>
        <v>1</v>
      </c>
      <c r="K50" s="249">
        <f>IF(K46&gt;0,1,0)</f>
        <v>1</v>
      </c>
      <c r="L50" s="249">
        <f>IF(L46&gt;0,1,0)</f>
        <v>1</v>
      </c>
      <c r="M50" s="14"/>
      <c r="N50" s="15"/>
      <c r="O50" s="15"/>
      <c r="P50" s="15"/>
      <c r="Q50" s="16"/>
    </row>
    <row r="51" spans="1:17" ht="16" customHeight="1">
      <c r="A51" s="133"/>
      <c r="B51" s="14"/>
      <c r="C51" s="221"/>
      <c r="D51" s="221"/>
      <c r="E51" s="221"/>
      <c r="F51" s="221"/>
      <c r="G51" s="323"/>
      <c r="H51" s="377"/>
      <c r="I51" s="370"/>
      <c r="J51" s="370"/>
      <c r="K51" s="378"/>
      <c r="L51" s="370"/>
      <c r="M51" s="379"/>
      <c r="N51" s="380"/>
      <c r="O51" s="380"/>
      <c r="P51" s="380"/>
      <c r="Q51" s="381"/>
    </row>
    <row r="52" spans="1:17" ht="16" customHeight="1">
      <c r="A52" s="133"/>
      <c r="B52" s="14"/>
      <c r="C52" s="364" t="s">
        <v>110</v>
      </c>
      <c r="D52" s="228"/>
      <c r="E52" s="221"/>
      <c r="F52" s="221"/>
      <c r="G52" s="323"/>
      <c r="H52" s="377"/>
      <c r="I52" s="370"/>
      <c r="J52" s="370"/>
      <c r="K52" s="363"/>
      <c r="L52" s="370"/>
      <c r="M52" s="331"/>
      <c r="N52" s="380"/>
      <c r="O52" s="380"/>
      <c r="P52" s="380"/>
      <c r="Q52" s="381"/>
    </row>
    <row r="53" spans="1:17" ht="16" customHeight="1">
      <c r="A53" s="133"/>
      <c r="B53" s="14"/>
      <c r="C53" s="233" t="s">
        <v>104</v>
      </c>
      <c r="D53" s="326">
        <v>45000</v>
      </c>
      <c r="E53" s="356"/>
      <c r="F53" s="357"/>
      <c r="G53" s="358"/>
      <c r="H53" s="382"/>
      <c r="I53" s="383"/>
      <c r="J53" s="383"/>
      <c r="K53" s="370"/>
      <c r="L53" s="383"/>
      <c r="M53" s="331"/>
      <c r="N53" s="359"/>
      <c r="O53" s="359"/>
      <c r="P53" s="359"/>
      <c r="Q53" s="360"/>
    </row>
    <row r="54" spans="1:17" ht="16" customHeight="1">
      <c r="A54" s="133"/>
      <c r="B54" s="14"/>
      <c r="C54" s="233" t="s">
        <v>98</v>
      </c>
      <c r="D54" s="333">
        <v>0.02</v>
      </c>
      <c r="E54" s="232"/>
      <c r="F54" s="221"/>
      <c r="G54" s="323"/>
      <c r="H54" s="374"/>
      <c r="I54" s="375"/>
      <c r="J54" s="375"/>
      <c r="K54" s="375"/>
      <c r="L54" s="375"/>
      <c r="M54" s="14"/>
      <c r="N54" s="15"/>
      <c r="O54" s="15"/>
      <c r="P54" s="15"/>
      <c r="Q54" s="16"/>
    </row>
    <row r="55" spans="1:17" ht="16" customHeight="1">
      <c r="A55" s="133"/>
      <c r="B55" s="14"/>
      <c r="C55" s="233" t="s">
        <v>111</v>
      </c>
      <c r="D55" s="254">
        <v>300</v>
      </c>
      <c r="E55" s="230"/>
      <c r="F55" s="357"/>
      <c r="G55" s="358"/>
      <c r="H55" s="382"/>
      <c r="I55" s="383"/>
      <c r="J55" s="383"/>
      <c r="K55" s="370"/>
      <c r="L55" s="383"/>
      <c r="M55" s="331"/>
      <c r="N55" s="359"/>
      <c r="O55" s="359"/>
      <c r="P55" s="359"/>
      <c r="Q55" s="360"/>
    </row>
    <row r="56" spans="1:17" ht="16" customHeight="1">
      <c r="A56" s="133"/>
      <c r="B56" s="14"/>
      <c r="C56" s="334" t="s">
        <v>106</v>
      </c>
      <c r="D56" s="221"/>
      <c r="E56" s="357"/>
      <c r="F56" s="221"/>
      <c r="G56" s="323"/>
      <c r="H56" s="384">
        <f>ROUND(Revenue!H23/D55,)</f>
        <v>6</v>
      </c>
      <c r="I56" s="385">
        <f>ROUND(Revenue!I23/$D55,0)</f>
        <v>9</v>
      </c>
      <c r="J56" s="385">
        <f>ROUND(Revenue!J23/$D55,0)</f>
        <v>14</v>
      </c>
      <c r="K56" s="385">
        <f>ROUND(Revenue!K23/$D55,0)</f>
        <v>23</v>
      </c>
      <c r="L56" s="385">
        <f>ROUND(Revenue!L23/$D55,0)</f>
        <v>38</v>
      </c>
      <c r="M56" s="14"/>
      <c r="N56" s="15"/>
      <c r="O56" s="15"/>
      <c r="P56" s="15"/>
      <c r="Q56" s="16"/>
    </row>
    <row r="57" spans="1:17" ht="16" customHeight="1">
      <c r="A57" s="133"/>
      <c r="B57" s="14"/>
      <c r="C57" s="334" t="s">
        <v>112</v>
      </c>
      <c r="D57" s="221"/>
      <c r="E57" s="221"/>
      <c r="F57" s="221"/>
      <c r="G57" s="323"/>
      <c r="H57" s="386">
        <v>10</v>
      </c>
      <c r="I57" s="387">
        <v>8</v>
      </c>
      <c r="J57" s="387">
        <v>6</v>
      </c>
      <c r="K57" s="387">
        <v>0</v>
      </c>
      <c r="L57" s="387">
        <v>0</v>
      </c>
      <c r="M57" s="388"/>
      <c r="N57" s="15"/>
      <c r="O57" s="15"/>
      <c r="P57" s="15"/>
      <c r="Q57" s="16"/>
    </row>
    <row r="58" spans="1:17" ht="16" customHeight="1">
      <c r="A58" s="133"/>
      <c r="B58" s="14"/>
      <c r="C58" s="334" t="s">
        <v>113</v>
      </c>
      <c r="D58" s="221"/>
      <c r="E58" s="221"/>
      <c r="F58" s="221"/>
      <c r="G58" s="323"/>
      <c r="H58" s="362">
        <f>H56+H57</f>
        <v>16</v>
      </c>
      <c r="I58" s="363">
        <f>I56+I57</f>
        <v>17</v>
      </c>
      <c r="J58" s="363">
        <f>J56+J57</f>
        <v>20</v>
      </c>
      <c r="K58" s="363">
        <f>K56+K57</f>
        <v>23</v>
      </c>
      <c r="L58" s="363">
        <f>L56+L57</f>
        <v>38</v>
      </c>
      <c r="M58" s="14"/>
      <c r="N58" s="15"/>
      <c r="O58" s="15"/>
      <c r="P58" s="15"/>
      <c r="Q58" s="16"/>
    </row>
    <row r="59" spans="1:17" ht="16" customHeight="1">
      <c r="A59" s="133"/>
      <c r="B59" s="14"/>
      <c r="C59" s="334" t="s">
        <v>107</v>
      </c>
      <c r="D59" s="357"/>
      <c r="E59" s="357"/>
      <c r="F59" s="357"/>
      <c r="G59" s="358"/>
      <c r="H59" s="330">
        <f>H58*$D53*((1+$D54)^(H2-1))</f>
        <v>720000</v>
      </c>
      <c r="I59" s="330">
        <f>I58*$D53*((1+$D54)^(I2-1))</f>
        <v>780300</v>
      </c>
      <c r="J59" s="330">
        <f>J58*$D53*((1+$D54)^(J2-1))</f>
        <v>936360</v>
      </c>
      <c r="K59" s="330">
        <f>K58*$D53*((1+$D54)^(K2-1))</f>
        <v>1098350.28</v>
      </c>
      <c r="L59" s="330">
        <f>L58*$D53*((1+$D54)^(L2-1))</f>
        <v>1850958.9935999999</v>
      </c>
      <c r="M59" s="14"/>
      <c r="N59" s="15"/>
      <c r="O59" s="15"/>
      <c r="P59" s="15"/>
      <c r="Q59" s="16"/>
    </row>
    <row r="60" spans="1:17" ht="16" customHeight="1">
      <c r="A60" s="133"/>
      <c r="B60" s="162"/>
      <c r="C60" s="255"/>
      <c r="D60" s="339"/>
      <c r="E60" s="339"/>
      <c r="F60" s="339"/>
      <c r="G60" s="340"/>
      <c r="H60" s="341"/>
      <c r="I60" s="342"/>
      <c r="J60" s="342"/>
      <c r="K60" s="342"/>
      <c r="L60" s="342"/>
      <c r="M60" s="14"/>
      <c r="N60" s="15"/>
      <c r="O60" s="15"/>
      <c r="P60" s="15"/>
      <c r="Q60" s="16"/>
    </row>
    <row r="61" spans="1:17" ht="16" customHeight="1">
      <c r="A61" s="133"/>
      <c r="B61" s="343" t="str">
        <f>"Total "&amp;B44&amp;" Headcount"</f>
        <v>Total Technology development Headcount</v>
      </c>
      <c r="C61" s="344"/>
      <c r="D61" s="344"/>
      <c r="E61" s="344"/>
      <c r="F61" s="344"/>
      <c r="G61" s="345"/>
      <c r="H61" s="389">
        <f>SUM(H50,H58)</f>
        <v>16</v>
      </c>
      <c r="I61" s="390">
        <f>SUM(I50,I58)</f>
        <v>18</v>
      </c>
      <c r="J61" s="390">
        <f>SUM(J50,J58)</f>
        <v>21</v>
      </c>
      <c r="K61" s="390">
        <f>SUM(K50,K58)</f>
        <v>24</v>
      </c>
      <c r="L61" s="390">
        <f>SUM(L50,L58)</f>
        <v>39</v>
      </c>
      <c r="M61" s="14"/>
      <c r="N61" s="15"/>
      <c r="O61" s="15"/>
      <c r="P61" s="15"/>
      <c r="Q61" s="16"/>
    </row>
    <row r="62" spans="1:17" ht="16" customHeight="1">
      <c r="A62" s="133"/>
      <c r="B62" s="348" t="str">
        <f>"Total "&amp;B44&amp;" Salaries"</f>
        <v>Total Technology development Salaries</v>
      </c>
      <c r="C62" s="344"/>
      <c r="D62" s="344"/>
      <c r="E62" s="344"/>
      <c r="F62" s="344"/>
      <c r="G62" s="345"/>
      <c r="H62" s="349">
        <f>H46+H59</f>
        <v>720000</v>
      </c>
      <c r="I62" s="350">
        <f>I46+I59</f>
        <v>820300</v>
      </c>
      <c r="J62" s="350">
        <f>J46+J59</f>
        <v>977160</v>
      </c>
      <c r="K62" s="350">
        <f>K46+K59</f>
        <v>1139966.28</v>
      </c>
      <c r="L62" s="350">
        <f>L46+L59</f>
        <v>1893407.3136</v>
      </c>
      <c r="M62" s="14"/>
      <c r="N62" s="15"/>
      <c r="O62" s="15"/>
      <c r="P62" s="15"/>
      <c r="Q62" s="16"/>
    </row>
    <row r="63" spans="1:17" ht="16" customHeight="1">
      <c r="A63" s="133"/>
      <c r="B63" s="95" t="s">
        <v>32</v>
      </c>
      <c r="C63" s="135"/>
      <c r="D63" s="135"/>
      <c r="E63" s="135"/>
      <c r="F63" s="135"/>
      <c r="G63" s="351"/>
      <c r="H63" s="352">
        <f>H62/Revenue!H$123</f>
        <v>0.69032737066171579</v>
      </c>
      <c r="I63" s="353">
        <f>I62/Revenue!I$123</f>
        <v>0.38092888837741906</v>
      </c>
      <c r="J63" s="353">
        <f>J62/Revenue!J$123</f>
        <v>0.25540711192852433</v>
      </c>
      <c r="K63" s="353">
        <f>K62/Revenue!K$123</f>
        <v>0.17663634427751018</v>
      </c>
      <c r="L63" s="353">
        <f>L62/Revenue!L$123</f>
        <v>0.17629466690615417</v>
      </c>
      <c r="M63" s="244"/>
      <c r="N63" s="15"/>
      <c r="O63" s="15"/>
      <c r="P63" s="15"/>
      <c r="Q63" s="16"/>
    </row>
    <row r="64" spans="1:17" ht="19" customHeight="1">
      <c r="A64" s="133"/>
      <c r="B64" s="391"/>
      <c r="C64" s="35"/>
      <c r="D64" s="267"/>
      <c r="E64" s="267"/>
      <c r="F64" s="267"/>
      <c r="G64" s="323"/>
      <c r="H64" s="324"/>
      <c r="I64" s="224"/>
      <c r="J64" s="224"/>
      <c r="K64" s="224"/>
      <c r="L64" s="224"/>
      <c r="M64" s="14"/>
      <c r="N64" s="15"/>
      <c r="O64" s="15"/>
      <c r="P64" s="15"/>
      <c r="Q64" s="16"/>
    </row>
    <row r="65" spans="1:17" ht="19" customHeight="1">
      <c r="A65" s="133"/>
      <c r="B65" s="124" t="s">
        <v>114</v>
      </c>
      <c r="C65" s="35"/>
      <c r="D65" s="267"/>
      <c r="E65" s="267"/>
      <c r="F65" s="267"/>
      <c r="G65" s="323"/>
      <c r="H65" s="324"/>
      <c r="I65" s="224"/>
      <c r="J65" s="224"/>
      <c r="K65" s="224"/>
      <c r="L65" s="224"/>
      <c r="M65" s="14"/>
      <c r="N65" s="15"/>
      <c r="O65" s="15"/>
      <c r="P65" s="15"/>
      <c r="Q65" s="16"/>
    </row>
    <row r="66" spans="1:17" ht="16" customHeight="1">
      <c r="A66" s="133"/>
      <c r="B66" s="14"/>
      <c r="C66" s="364" t="s">
        <v>115</v>
      </c>
      <c r="D66" s="365"/>
      <c r="E66" s="366"/>
      <c r="F66" s="366"/>
      <c r="G66" s="367"/>
      <c r="H66" s="392"/>
      <c r="I66" s="393"/>
      <c r="J66" s="393"/>
      <c r="K66" s="84"/>
      <c r="L66" s="393"/>
      <c r="M66" s="371"/>
      <c r="N66" s="372"/>
      <c r="O66" s="372"/>
      <c r="P66" s="372"/>
      <c r="Q66" s="373"/>
    </row>
    <row r="67" spans="1:17" ht="16" customHeight="1">
      <c r="A67" s="133"/>
      <c r="B67" s="14"/>
      <c r="C67" s="233" t="s">
        <v>96</v>
      </c>
      <c r="D67" s="326">
        <v>30000</v>
      </c>
      <c r="E67" s="356"/>
      <c r="F67" s="357"/>
      <c r="G67" s="358"/>
      <c r="H67" s="330">
        <f>IF(G67&gt;0,G67*(1+$D69),IF($D68=H$2,($D67*$D70),0))</f>
        <v>0</v>
      </c>
      <c r="I67" s="235">
        <f>IF(H67&gt;0,(H67/$D70)*(1+$D69),IF($D68=I$2,$D67,0))</f>
        <v>0</v>
      </c>
      <c r="J67" s="235">
        <f>IF(I67&gt;0,I67*(1+$D69),IF($D68=J$2,$D67,0))</f>
        <v>0</v>
      </c>
      <c r="K67" s="235">
        <f>IF(J67&gt;0,J67*(1+$D69),IF($D68=K$2,$D67,0))</f>
        <v>0</v>
      </c>
      <c r="L67" s="235">
        <f>IF(K67&gt;0,K67*(1+$D69),IF($D68=L$2,$D67,0))</f>
        <v>0</v>
      </c>
      <c r="M67" s="331"/>
      <c r="N67" s="15"/>
      <c r="O67" s="15"/>
      <c r="P67" s="15"/>
      <c r="Q67" s="16"/>
    </row>
    <row r="68" spans="1:17" ht="16" customHeight="1">
      <c r="A68" s="133"/>
      <c r="B68" s="14"/>
      <c r="C68" s="233" t="s">
        <v>97</v>
      </c>
      <c r="D68" s="332">
        <v>6</v>
      </c>
      <c r="E68" s="232"/>
      <c r="F68" s="221"/>
      <c r="G68" s="323"/>
      <c r="H68" s="374"/>
      <c r="I68" s="375"/>
      <c r="J68" s="375"/>
      <c r="K68" s="375"/>
      <c r="L68" s="375"/>
      <c r="M68" s="14"/>
      <c r="N68" s="15"/>
      <c r="O68" s="15"/>
      <c r="P68" s="15"/>
      <c r="Q68" s="16"/>
    </row>
    <row r="69" spans="1:17" ht="16" customHeight="1">
      <c r="A69" s="133"/>
      <c r="B69" s="14"/>
      <c r="C69" s="233" t="s">
        <v>98</v>
      </c>
      <c r="D69" s="333">
        <v>0.05</v>
      </c>
      <c r="E69" s="232"/>
      <c r="F69" s="221"/>
      <c r="G69" s="323"/>
      <c r="H69" s="374"/>
      <c r="I69" s="375"/>
      <c r="J69" s="375"/>
      <c r="K69" s="375"/>
      <c r="L69" s="375"/>
      <c r="M69" s="14"/>
      <c r="N69" s="15"/>
      <c r="O69" s="15"/>
      <c r="P69" s="15"/>
      <c r="Q69" s="16"/>
    </row>
    <row r="70" spans="1:17" ht="16" customHeight="1">
      <c r="A70" s="133"/>
      <c r="B70" s="14"/>
      <c r="C70" s="233" t="s">
        <v>99</v>
      </c>
      <c r="D70" s="254">
        <v>1</v>
      </c>
      <c r="E70" s="232"/>
      <c r="F70" s="221"/>
      <c r="G70" s="323"/>
      <c r="H70" s="374"/>
      <c r="I70" s="375"/>
      <c r="J70" s="375"/>
      <c r="K70" s="375"/>
      <c r="L70" s="375"/>
      <c r="M70" s="14"/>
      <c r="N70" s="15"/>
      <c r="O70" s="15"/>
      <c r="P70" s="15"/>
      <c r="Q70" s="16"/>
    </row>
    <row r="71" spans="1:17" ht="16" customHeight="1">
      <c r="A71" s="133"/>
      <c r="B71" s="14"/>
      <c r="C71" s="334" t="s">
        <v>100</v>
      </c>
      <c r="D71" s="15"/>
      <c r="E71" s="221"/>
      <c r="F71" s="221"/>
      <c r="G71" s="323"/>
      <c r="H71" s="376">
        <f>IF(H67&gt;0,1,0)</f>
        <v>0</v>
      </c>
      <c r="I71" s="249">
        <f>IF(I67&gt;0,1,0)</f>
        <v>0</v>
      </c>
      <c r="J71" s="249">
        <f>IF(J67&gt;0,1,0)</f>
        <v>0</v>
      </c>
      <c r="K71" s="249">
        <f>IF(K67&gt;0,1,0)</f>
        <v>0</v>
      </c>
      <c r="L71" s="249">
        <f>IF(L67&gt;0,1,0)</f>
        <v>0</v>
      </c>
      <c r="M71" s="14"/>
      <c r="N71" s="15"/>
      <c r="O71" s="15"/>
      <c r="P71" s="15"/>
      <c r="Q71" s="16"/>
    </row>
    <row r="72" spans="1:17" ht="19" customHeight="1">
      <c r="A72" s="133"/>
      <c r="B72" s="391"/>
      <c r="C72" s="35"/>
      <c r="D72" s="267"/>
      <c r="E72" s="267"/>
      <c r="F72" s="267"/>
      <c r="G72" s="323"/>
      <c r="H72" s="324"/>
      <c r="I72" s="224"/>
      <c r="J72" s="224"/>
      <c r="K72" s="224"/>
      <c r="L72" s="224"/>
      <c r="M72" s="14"/>
      <c r="N72" s="15"/>
      <c r="O72" s="15"/>
      <c r="P72" s="15"/>
      <c r="Q72" s="16"/>
    </row>
    <row r="73" spans="1:17" ht="16" customHeight="1">
      <c r="A73" s="133"/>
      <c r="B73" s="14"/>
      <c r="C73" s="364" t="s">
        <v>116</v>
      </c>
      <c r="D73" s="228"/>
      <c r="E73" s="221"/>
      <c r="F73" s="221"/>
      <c r="G73" s="323"/>
      <c r="H73" s="377"/>
      <c r="I73" s="370"/>
      <c r="J73" s="370"/>
      <c r="K73" s="363"/>
      <c r="L73" s="370"/>
      <c r="M73" s="331"/>
      <c r="N73" s="380"/>
      <c r="O73" s="380"/>
      <c r="P73" s="380"/>
      <c r="Q73" s="381"/>
    </row>
    <row r="74" spans="1:17" ht="16" customHeight="1">
      <c r="A74" s="133"/>
      <c r="B74" s="14"/>
      <c r="C74" s="233" t="s">
        <v>104</v>
      </c>
      <c r="D74" s="326">
        <v>40000</v>
      </c>
      <c r="E74" s="356"/>
      <c r="F74" s="357"/>
      <c r="G74" s="358"/>
      <c r="H74" s="382"/>
      <c r="I74" s="383"/>
      <c r="J74" s="383"/>
      <c r="K74" s="107"/>
      <c r="L74" s="383"/>
      <c r="M74" s="331"/>
      <c r="N74" s="359"/>
      <c r="O74" s="359"/>
      <c r="P74" s="359"/>
      <c r="Q74" s="360"/>
    </row>
    <row r="75" spans="1:17" ht="16" customHeight="1">
      <c r="A75" s="133"/>
      <c r="B75" s="14"/>
      <c r="C75" s="233" t="s">
        <v>98</v>
      </c>
      <c r="D75" s="333">
        <v>0.1</v>
      </c>
      <c r="E75" s="232"/>
      <c r="F75" s="221"/>
      <c r="G75" s="323"/>
      <c r="H75" s="374"/>
      <c r="I75" s="375"/>
      <c r="J75" s="375"/>
      <c r="K75" s="375"/>
      <c r="L75" s="375"/>
      <c r="M75" s="14"/>
      <c r="N75" s="15"/>
      <c r="O75" s="15"/>
      <c r="P75" s="15"/>
      <c r="Q75" s="16"/>
    </row>
    <row r="76" spans="1:17" ht="16" customHeight="1">
      <c r="A76" s="133"/>
      <c r="B76" s="14"/>
      <c r="C76" s="233" t="s">
        <v>117</v>
      </c>
      <c r="D76" s="254">
        <v>50000</v>
      </c>
      <c r="E76" s="356"/>
      <c r="F76" s="357"/>
      <c r="G76" s="358"/>
      <c r="H76" s="382"/>
      <c r="I76" s="383"/>
      <c r="J76" s="383"/>
      <c r="K76" s="107"/>
      <c r="L76" s="383"/>
      <c r="M76" s="331"/>
      <c r="N76" s="359"/>
      <c r="O76" s="359"/>
      <c r="P76" s="359"/>
      <c r="Q76" s="360"/>
    </row>
    <row r="77" spans="1:17" ht="16" customHeight="1">
      <c r="A77" s="133"/>
      <c r="B77" s="14"/>
      <c r="C77" s="334" t="s">
        <v>106</v>
      </c>
      <c r="D77" s="221"/>
      <c r="E77" s="221"/>
      <c r="F77" s="221"/>
      <c r="G77" s="323"/>
      <c r="H77" s="394">
        <f>ROUND(Revenue!H19/$D76,0)</f>
        <v>4</v>
      </c>
      <c r="I77" s="394">
        <f>ROUND(Revenue!I19/$D76,0)</f>
        <v>6</v>
      </c>
      <c r="J77" s="394">
        <f>ROUND(Revenue!J19/$D76,0)</f>
        <v>10</v>
      </c>
      <c r="K77" s="394">
        <f>ROUND(Revenue!K19/$D76,0)</f>
        <v>15</v>
      </c>
      <c r="L77" s="384">
        <f>ROUND(Revenue!L19/$D76,0)</f>
        <v>25</v>
      </c>
      <c r="M77" s="14"/>
      <c r="N77" s="15"/>
      <c r="O77" s="15"/>
      <c r="P77" s="15"/>
      <c r="Q77" s="16"/>
    </row>
    <row r="78" spans="1:17" ht="16" customHeight="1">
      <c r="A78" s="133"/>
      <c r="B78" s="14"/>
      <c r="C78" s="334" t="s">
        <v>118</v>
      </c>
      <c r="D78" s="221"/>
      <c r="E78" s="221"/>
      <c r="F78" s="221"/>
      <c r="G78" s="323"/>
      <c r="H78" s="386">
        <v>4</v>
      </c>
      <c r="I78" s="387">
        <v>4</v>
      </c>
      <c r="J78" s="387">
        <v>3</v>
      </c>
      <c r="K78" s="387">
        <v>0</v>
      </c>
      <c r="L78" s="387">
        <v>0</v>
      </c>
      <c r="M78" s="14"/>
      <c r="N78" s="15"/>
      <c r="O78" s="15"/>
      <c r="P78" s="15"/>
      <c r="Q78" s="16"/>
    </row>
    <row r="79" spans="1:17" ht="16" customHeight="1">
      <c r="A79" s="133"/>
      <c r="B79" s="14"/>
      <c r="C79" s="334" t="s">
        <v>113</v>
      </c>
      <c r="D79" s="221"/>
      <c r="E79" s="221"/>
      <c r="F79" s="221"/>
      <c r="G79" s="323"/>
      <c r="H79" s="362">
        <f>H77+H78</f>
        <v>8</v>
      </c>
      <c r="I79" s="363">
        <f>I77+I78</f>
        <v>10</v>
      </c>
      <c r="J79" s="363">
        <f>J77+J78</f>
        <v>13</v>
      </c>
      <c r="K79" s="363">
        <f>K77+K78</f>
        <v>15</v>
      </c>
      <c r="L79" s="363">
        <f>L77+L78</f>
        <v>25</v>
      </c>
      <c r="M79" s="14"/>
      <c r="N79" s="15"/>
      <c r="O79" s="15"/>
      <c r="P79" s="15"/>
      <c r="Q79" s="16"/>
    </row>
    <row r="80" spans="1:17" ht="16" customHeight="1">
      <c r="A80" s="133"/>
      <c r="B80" s="14"/>
      <c r="C80" s="334" t="s">
        <v>107</v>
      </c>
      <c r="D80" s="357"/>
      <c r="E80" s="357"/>
      <c r="F80" s="357"/>
      <c r="G80" s="358"/>
      <c r="H80" s="330">
        <f>H79*$D74*((1+$D75)^(H2-1))</f>
        <v>320000</v>
      </c>
      <c r="I80" s="330">
        <f>I79*$D74*((1+$D75)^(I2-1))</f>
        <v>440000.00000000006</v>
      </c>
      <c r="J80" s="330">
        <f>J79*$D74*((1+$D75)^(J2-1))</f>
        <v>629200.00000000012</v>
      </c>
      <c r="K80" s="330">
        <f>K79*$D74*((1+$D75)^(K2-1))</f>
        <v>798600.00000000023</v>
      </c>
      <c r="L80" s="330">
        <f>L79*$D74*((1+$D75)^(L2-1))</f>
        <v>1464100.0000000005</v>
      </c>
      <c r="M80" s="388"/>
      <c r="N80" s="15"/>
      <c r="O80" s="15"/>
      <c r="P80" s="15"/>
      <c r="Q80" s="16"/>
    </row>
    <row r="81" spans="1:17" ht="19" customHeight="1">
      <c r="A81" s="133"/>
      <c r="B81" s="395"/>
      <c r="C81" s="255"/>
      <c r="D81" s="339"/>
      <c r="E81" s="339"/>
      <c r="F81" s="339"/>
      <c r="G81" s="340"/>
      <c r="H81" s="341"/>
      <c r="I81" s="342"/>
      <c r="J81" s="342"/>
      <c r="K81" s="342"/>
      <c r="L81" s="342"/>
      <c r="M81" s="14"/>
      <c r="N81" s="15"/>
      <c r="O81" s="15"/>
      <c r="P81" s="15"/>
      <c r="Q81" s="16"/>
    </row>
    <row r="82" spans="1:17" ht="16" customHeight="1">
      <c r="A82" s="133"/>
      <c r="B82" s="343" t="str">
        <f>"Total "&amp;B65&amp;" Headcount"</f>
        <v>Total Sales and marketing Headcount</v>
      </c>
      <c r="C82" s="344"/>
      <c r="D82" s="344"/>
      <c r="E82" s="344"/>
      <c r="F82" s="344"/>
      <c r="G82" s="345"/>
      <c r="H82" s="389">
        <f>SUM(H71,H79)</f>
        <v>8</v>
      </c>
      <c r="I82" s="390">
        <f>SUM(I71,I79)</f>
        <v>10</v>
      </c>
      <c r="J82" s="390">
        <f>SUM(J71,J79)</f>
        <v>13</v>
      </c>
      <c r="K82" s="390">
        <f>SUM(K71,K79)</f>
        <v>15</v>
      </c>
      <c r="L82" s="390">
        <f>SUM(L71,L79)</f>
        <v>25</v>
      </c>
      <c r="M82" s="14"/>
      <c r="N82" s="15"/>
      <c r="O82" s="15"/>
      <c r="P82" s="15"/>
      <c r="Q82" s="16"/>
    </row>
    <row r="83" spans="1:17" ht="16" customHeight="1">
      <c r="A83" s="133"/>
      <c r="B83" s="348" t="str">
        <f>"Total "&amp;B65&amp;" Salaries"</f>
        <v>Total Sales and marketing Salaries</v>
      </c>
      <c r="C83" s="344"/>
      <c r="D83" s="344"/>
      <c r="E83" s="344"/>
      <c r="F83" s="344"/>
      <c r="G83" s="345"/>
      <c r="H83" s="349">
        <f>H67+H80</f>
        <v>320000</v>
      </c>
      <c r="I83" s="350">
        <f>I67+I80</f>
        <v>440000.00000000006</v>
      </c>
      <c r="J83" s="350">
        <f>J67+J80</f>
        <v>629200.00000000012</v>
      </c>
      <c r="K83" s="350">
        <f>K67+K80</f>
        <v>798600.00000000023</v>
      </c>
      <c r="L83" s="350">
        <f>L67+L80</f>
        <v>1464100.0000000005</v>
      </c>
      <c r="M83" s="14"/>
      <c r="N83" s="15"/>
      <c r="O83" s="15"/>
      <c r="P83" s="15"/>
      <c r="Q83" s="16"/>
    </row>
    <row r="84" spans="1:17" ht="16" customHeight="1">
      <c r="A84" s="133"/>
      <c r="B84" s="95" t="s">
        <v>32</v>
      </c>
      <c r="C84" s="135"/>
      <c r="D84" s="135"/>
      <c r="E84" s="135"/>
      <c r="F84" s="135"/>
      <c r="G84" s="136"/>
      <c r="H84" s="353">
        <f>H83/Revenue!H$123</f>
        <v>0.30681216473854034</v>
      </c>
      <c r="I84" s="353">
        <f>I83/Revenue!I$123</f>
        <v>0.20432611347807436</v>
      </c>
      <c r="J84" s="353">
        <f>J83/Revenue!J$123</f>
        <v>0.16445838432337337</v>
      </c>
      <c r="K84" s="353">
        <f>K83/Revenue!K$123</f>
        <v>0.12374206765135165</v>
      </c>
      <c r="L84" s="353">
        <f>L83/Revenue!L$123</f>
        <v>0.13632197359929982</v>
      </c>
      <c r="M84" s="244"/>
      <c r="N84" s="15"/>
      <c r="O84" s="15"/>
      <c r="P84" s="15"/>
      <c r="Q84" s="16"/>
    </row>
    <row r="85" spans="1:17" ht="16" customHeight="1">
      <c r="A85" s="133"/>
      <c r="B85" s="14"/>
      <c r="C85" s="35"/>
      <c r="D85" s="267"/>
      <c r="E85" s="267"/>
      <c r="F85" s="267"/>
      <c r="G85" s="323"/>
      <c r="H85" s="324"/>
      <c r="I85" s="224"/>
      <c r="J85" s="224"/>
      <c r="K85" s="224"/>
      <c r="L85" s="224"/>
      <c r="M85" s="14"/>
      <c r="N85" s="15"/>
      <c r="O85" s="15"/>
      <c r="P85" s="15"/>
      <c r="Q85" s="16"/>
    </row>
    <row r="86" spans="1:17" ht="19" customHeight="1">
      <c r="A86" s="133"/>
      <c r="B86" s="124" t="s">
        <v>119</v>
      </c>
      <c r="C86" s="35"/>
      <c r="D86" s="267"/>
      <c r="E86" s="267"/>
      <c r="F86" s="267"/>
      <c r="G86" s="323"/>
      <c r="H86" s="324"/>
      <c r="I86" s="224"/>
      <c r="J86" s="224"/>
      <c r="K86" s="224"/>
      <c r="L86" s="224"/>
      <c r="M86" s="14"/>
      <c r="N86" s="15"/>
      <c r="O86" s="15"/>
      <c r="P86" s="15"/>
      <c r="Q86" s="16"/>
    </row>
    <row r="87" spans="1:17" ht="16" customHeight="1">
      <c r="A87" s="133"/>
      <c r="B87" s="14"/>
      <c r="C87" s="502" t="s">
        <v>120</v>
      </c>
      <c r="D87" s="228"/>
      <c r="E87" s="221"/>
      <c r="F87" s="221"/>
      <c r="G87" s="323"/>
      <c r="H87" s="377"/>
      <c r="I87" s="370"/>
      <c r="J87" s="370"/>
      <c r="K87" s="363"/>
      <c r="L87" s="370"/>
      <c r="M87" s="379"/>
      <c r="N87" s="380"/>
      <c r="O87" s="380"/>
      <c r="P87" s="380"/>
      <c r="Q87" s="381"/>
    </row>
    <row r="88" spans="1:17" ht="16" customHeight="1">
      <c r="A88" s="133"/>
      <c r="B88" s="14"/>
      <c r="C88" s="233" t="s">
        <v>104</v>
      </c>
      <c r="D88" s="326">
        <v>40000</v>
      </c>
      <c r="E88" s="356"/>
      <c r="F88" s="357"/>
      <c r="G88" s="358"/>
      <c r="H88" s="382"/>
      <c r="I88" s="383"/>
      <c r="J88" s="383"/>
      <c r="K88" s="107"/>
      <c r="L88" s="383"/>
      <c r="M88" s="331"/>
      <c r="N88" s="359"/>
      <c r="O88" s="359"/>
      <c r="P88" s="359"/>
      <c r="Q88" s="360"/>
    </row>
    <row r="89" spans="1:17" ht="16" customHeight="1">
      <c r="A89" s="133"/>
      <c r="B89" s="14"/>
      <c r="C89" s="233" t="s">
        <v>98</v>
      </c>
      <c r="D89" s="333">
        <v>0.02</v>
      </c>
      <c r="E89" s="232"/>
      <c r="F89" s="221"/>
      <c r="G89" s="323"/>
      <c r="H89" s="374"/>
      <c r="I89" s="375"/>
      <c r="J89" s="375"/>
      <c r="K89" s="375"/>
      <c r="L89" s="375"/>
      <c r="M89" s="14"/>
      <c r="N89" s="15"/>
      <c r="O89" s="15"/>
      <c r="P89" s="15"/>
      <c r="Q89" s="16"/>
    </row>
    <row r="90" spans="1:17" ht="16" customHeight="1">
      <c r="A90" s="133"/>
      <c r="B90" s="14"/>
      <c r="C90" s="233" t="s">
        <v>200</v>
      </c>
      <c r="D90" s="254">
        <v>2000</v>
      </c>
      <c r="E90" s="230"/>
      <c r="F90" s="357"/>
      <c r="G90" s="358"/>
      <c r="H90" s="382"/>
      <c r="I90" s="383"/>
      <c r="J90" s="383"/>
      <c r="K90" s="370"/>
      <c r="L90" s="383"/>
      <c r="M90" s="14"/>
      <c r="N90" s="359"/>
      <c r="O90" s="359"/>
      <c r="P90" s="359"/>
      <c r="Q90" s="360"/>
    </row>
    <row r="91" spans="1:17" ht="16" customHeight="1">
      <c r="A91" s="133"/>
      <c r="B91" s="14"/>
      <c r="C91" s="334" t="s">
        <v>106</v>
      </c>
      <c r="D91" s="221"/>
      <c r="E91" s="221"/>
      <c r="F91" s="221"/>
      <c r="G91" s="323"/>
      <c r="H91" s="394">
        <f>ROUND(Revenue!H42/$D90,0)</f>
        <v>1</v>
      </c>
      <c r="I91" s="394">
        <f>ROUND(Revenue!I42/$D90,0)</f>
        <v>3</v>
      </c>
      <c r="J91" s="394">
        <f>ROUND(Revenue!J42/$D90,0)</f>
        <v>5</v>
      </c>
      <c r="K91" s="394">
        <f>ROUND(Revenue!K42/$D90,0)</f>
        <v>8</v>
      </c>
      <c r="L91" s="384">
        <f>ROUND(Revenue!L42/$D90,0)</f>
        <v>13</v>
      </c>
      <c r="M91" s="331"/>
      <c r="N91" s="15"/>
      <c r="O91" s="15"/>
      <c r="P91" s="15"/>
      <c r="Q91" s="16"/>
    </row>
    <row r="92" spans="1:17" ht="16" customHeight="1">
      <c r="A92" s="133"/>
      <c r="B92" s="14"/>
      <c r="C92" s="334" t="s">
        <v>118</v>
      </c>
      <c r="D92" s="221"/>
      <c r="E92" s="221"/>
      <c r="F92" s="221"/>
      <c r="G92" s="323"/>
      <c r="H92" s="386">
        <v>0</v>
      </c>
      <c r="I92" s="387">
        <v>0</v>
      </c>
      <c r="J92" s="387">
        <v>0</v>
      </c>
      <c r="K92" s="387">
        <v>0</v>
      </c>
      <c r="L92" s="387">
        <v>0</v>
      </c>
      <c r="M92" s="14"/>
      <c r="N92" s="15"/>
      <c r="O92" s="15"/>
      <c r="P92" s="15"/>
      <c r="Q92" s="16"/>
    </row>
    <row r="93" spans="1:17" ht="16" customHeight="1">
      <c r="A93" s="133"/>
      <c r="B93" s="14"/>
      <c r="C93" s="334" t="s">
        <v>113</v>
      </c>
      <c r="D93" s="221"/>
      <c r="E93" s="221"/>
      <c r="F93" s="221"/>
      <c r="G93" s="323"/>
      <c r="H93" s="362">
        <f>H91+H92</f>
        <v>1</v>
      </c>
      <c r="I93" s="363">
        <f>I91+I92</f>
        <v>3</v>
      </c>
      <c r="J93" s="363">
        <f>J91+J92</f>
        <v>5</v>
      </c>
      <c r="K93" s="363">
        <f>K91+K92</f>
        <v>8</v>
      </c>
      <c r="L93" s="363">
        <f>L91+L92</f>
        <v>13</v>
      </c>
      <c r="M93" s="14"/>
      <c r="N93" s="15"/>
      <c r="O93" s="15"/>
      <c r="P93" s="15"/>
      <c r="Q93" s="16"/>
    </row>
    <row r="94" spans="1:17" ht="16" customHeight="1">
      <c r="A94" s="133"/>
      <c r="B94" s="14"/>
      <c r="C94" s="334" t="s">
        <v>107</v>
      </c>
      <c r="D94" s="161"/>
      <c r="E94" s="357"/>
      <c r="F94" s="357"/>
      <c r="G94" s="358"/>
      <c r="H94" s="330">
        <f>H91*$D88*((1+$D89)^(H2-1))</f>
        <v>40000</v>
      </c>
      <c r="I94" s="330">
        <f>I91*$D88*((1+$D89)^(I2-1))</f>
        <v>122400</v>
      </c>
      <c r="J94" s="330">
        <f>J91*$D88*((1+$D89)^(J2-1))</f>
        <v>208080</v>
      </c>
      <c r="K94" s="330">
        <f>K91*$D88*((1+$D89)^(K2-1))</f>
        <v>339586.56</v>
      </c>
      <c r="L94" s="330">
        <f>L91*$D88*((1+$D89)^(L2-1))</f>
        <v>562864.72320000001</v>
      </c>
      <c r="M94" s="14"/>
      <c r="N94" s="15"/>
      <c r="O94" s="15"/>
      <c r="P94" s="15"/>
      <c r="Q94" s="16"/>
    </row>
    <row r="95" spans="1:17" ht="19" customHeight="1">
      <c r="A95" s="133"/>
      <c r="B95" s="391"/>
      <c r="C95" s="35"/>
      <c r="D95" s="328"/>
      <c r="E95" s="267"/>
      <c r="F95" s="267"/>
      <c r="G95" s="323"/>
      <c r="H95" s="324"/>
      <c r="I95" s="224"/>
      <c r="J95" s="224"/>
      <c r="K95" s="224"/>
      <c r="L95" s="224"/>
      <c r="M95" s="14"/>
      <c r="N95" s="15"/>
      <c r="O95" s="15"/>
      <c r="P95" s="15"/>
      <c r="Q95" s="16"/>
    </row>
    <row r="96" spans="1:17" ht="16" customHeight="1">
      <c r="A96" s="133"/>
      <c r="B96" s="14"/>
      <c r="C96" s="502" t="s">
        <v>122</v>
      </c>
      <c r="D96" s="396"/>
      <c r="E96" s="221"/>
      <c r="F96" s="221"/>
      <c r="G96" s="323"/>
      <c r="H96" s="377"/>
      <c r="I96" s="370"/>
      <c r="J96" s="370"/>
      <c r="K96" s="363"/>
      <c r="L96" s="370"/>
      <c r="M96" s="379"/>
      <c r="N96" s="380"/>
      <c r="O96" s="380"/>
      <c r="P96" s="380"/>
      <c r="Q96" s="381"/>
    </row>
    <row r="97" spans="1:17" ht="16" customHeight="1">
      <c r="A97" s="133"/>
      <c r="B97" s="14"/>
      <c r="C97" s="233" t="s">
        <v>104</v>
      </c>
      <c r="D97" s="326">
        <v>25000</v>
      </c>
      <c r="E97" s="356"/>
      <c r="F97" s="357"/>
      <c r="G97" s="358"/>
      <c r="H97" s="382"/>
      <c r="I97" s="383"/>
      <c r="J97" s="383"/>
      <c r="K97" s="107"/>
      <c r="L97" s="383"/>
      <c r="M97" s="331"/>
      <c r="N97" s="359"/>
      <c r="O97" s="359"/>
      <c r="P97" s="359"/>
      <c r="Q97" s="360"/>
    </row>
    <row r="98" spans="1:17" ht="16" customHeight="1">
      <c r="A98" s="133"/>
      <c r="B98" s="14"/>
      <c r="C98" s="233" t="s">
        <v>98</v>
      </c>
      <c r="D98" s="333">
        <v>0.02</v>
      </c>
      <c r="E98" s="232"/>
      <c r="F98" s="221"/>
      <c r="G98" s="323"/>
      <c r="H98" s="374"/>
      <c r="I98" s="375"/>
      <c r="J98" s="375"/>
      <c r="K98" s="375"/>
      <c r="L98" s="375"/>
      <c r="M98" s="14"/>
      <c r="N98" s="15"/>
      <c r="O98" s="15"/>
      <c r="P98" s="15"/>
      <c r="Q98" s="16"/>
    </row>
    <row r="99" spans="1:17" ht="16" customHeight="1">
      <c r="A99" s="133"/>
      <c r="B99" s="14"/>
      <c r="C99" s="233" t="s">
        <v>111</v>
      </c>
      <c r="D99" s="254">
        <v>2000000</v>
      </c>
      <c r="E99" s="230"/>
      <c r="F99" s="357"/>
      <c r="G99" s="358"/>
      <c r="H99" s="382"/>
      <c r="I99" s="383"/>
      <c r="J99" s="383"/>
      <c r="K99" s="370"/>
      <c r="L99" s="383"/>
      <c r="M99" s="14"/>
      <c r="N99" s="359"/>
      <c r="O99" s="359"/>
      <c r="P99" s="359"/>
      <c r="Q99" s="360"/>
    </row>
    <row r="100" spans="1:17" ht="16" customHeight="1">
      <c r="A100" s="133"/>
      <c r="B100" s="14"/>
      <c r="C100" s="334" t="s">
        <v>106</v>
      </c>
      <c r="D100" s="221"/>
      <c r="E100" s="221"/>
      <c r="F100" s="221"/>
      <c r="G100" s="323"/>
      <c r="H100" s="384">
        <f>ROUND(Revenue!H23/$D99,1)</f>
        <v>0</v>
      </c>
      <c r="I100" s="397">
        <f>ROUND(Revenue!I23/$D99,0)</f>
        <v>0</v>
      </c>
      <c r="J100" s="394">
        <f>ROUND(Revenue!J23/$D99,0)</f>
        <v>0</v>
      </c>
      <c r="K100" s="394">
        <f>ROUND(Revenue!K23/$D99,0)</f>
        <v>0</v>
      </c>
      <c r="L100" s="384">
        <f>ROUND(Revenue!L23/$D99,0)</f>
        <v>0</v>
      </c>
      <c r="M100" s="331"/>
      <c r="N100" s="15"/>
      <c r="O100" s="15"/>
      <c r="P100" s="15"/>
      <c r="Q100" s="16"/>
    </row>
    <row r="101" spans="1:17" ht="16" customHeight="1">
      <c r="A101" s="133"/>
      <c r="B101" s="14"/>
      <c r="C101" s="334" t="s">
        <v>118</v>
      </c>
      <c r="D101" s="221"/>
      <c r="E101" s="221"/>
      <c r="F101" s="221"/>
      <c r="G101" s="323"/>
      <c r="H101" s="386">
        <v>0</v>
      </c>
      <c r="I101" s="387">
        <v>0</v>
      </c>
      <c r="J101" s="387">
        <v>0</v>
      </c>
      <c r="K101" s="387">
        <v>0</v>
      </c>
      <c r="L101" s="387">
        <v>0</v>
      </c>
      <c r="M101" s="331"/>
      <c r="N101" s="15"/>
      <c r="O101" s="15"/>
      <c r="P101" s="15"/>
      <c r="Q101" s="16"/>
    </row>
    <row r="102" spans="1:17" ht="16" customHeight="1">
      <c r="A102" s="133"/>
      <c r="B102" s="14"/>
      <c r="C102" s="334" t="s">
        <v>113</v>
      </c>
      <c r="D102" s="221"/>
      <c r="E102" s="221"/>
      <c r="F102" s="221"/>
      <c r="G102" s="323"/>
      <c r="H102" s="362">
        <f>H100+H101</f>
        <v>0</v>
      </c>
      <c r="I102" s="363">
        <f>I100+I101</f>
        <v>0</v>
      </c>
      <c r="J102" s="363">
        <f>J100+J101</f>
        <v>0</v>
      </c>
      <c r="K102" s="363">
        <f>K100+K101</f>
        <v>0</v>
      </c>
      <c r="L102" s="363">
        <f>L100+L101</f>
        <v>0</v>
      </c>
      <c r="M102" s="14"/>
      <c r="N102" s="15"/>
      <c r="O102" s="15"/>
      <c r="P102" s="15"/>
      <c r="Q102" s="16"/>
    </row>
    <row r="103" spans="1:17" ht="16" customHeight="1">
      <c r="A103" s="133"/>
      <c r="B103" s="14"/>
      <c r="C103" s="334" t="s">
        <v>107</v>
      </c>
      <c r="D103" s="357"/>
      <c r="E103" s="357"/>
      <c r="F103" s="357"/>
      <c r="G103" s="358"/>
      <c r="H103" s="330">
        <f>H100*$D97*((1+$D98)^(H2-1))</f>
        <v>0</v>
      </c>
      <c r="I103" s="330">
        <f>I100*$D97*((1+$D98)^(I2-1))</f>
        <v>0</v>
      </c>
      <c r="J103" s="330">
        <f>J100*$D97*((1+$D98)^(J2-1))</f>
        <v>0</v>
      </c>
      <c r="K103" s="330">
        <f>K100*$D97*((1+$D98)^(K2-1))</f>
        <v>0</v>
      </c>
      <c r="L103" s="330">
        <f>L100*$D97*((1+$D98)^(L2-1))</f>
        <v>0</v>
      </c>
      <c r="M103" s="14"/>
      <c r="N103" s="15"/>
      <c r="O103" s="15"/>
      <c r="P103" s="15"/>
      <c r="Q103" s="16"/>
    </row>
    <row r="104" spans="1:17" ht="19" customHeight="1">
      <c r="A104" s="133"/>
      <c r="B104" s="395"/>
      <c r="C104" s="255"/>
      <c r="D104" s="339"/>
      <c r="E104" s="339"/>
      <c r="F104" s="339"/>
      <c r="G104" s="340"/>
      <c r="H104" s="341"/>
      <c r="I104" s="342"/>
      <c r="J104" s="342"/>
      <c r="K104" s="342"/>
      <c r="L104" s="342"/>
      <c r="M104" s="14"/>
      <c r="N104" s="15"/>
      <c r="O104" s="15"/>
      <c r="P104" s="15"/>
      <c r="Q104" s="16"/>
    </row>
    <row r="105" spans="1:17" ht="16" customHeight="1">
      <c r="A105" s="133"/>
      <c r="B105" s="343" t="str">
        <f>"Total "&amp;B85&amp;" Headcount"</f>
        <v>Total  Headcount</v>
      </c>
      <c r="C105" s="344"/>
      <c r="D105" s="344"/>
      <c r="E105" s="344"/>
      <c r="F105" s="344"/>
      <c r="G105" s="345"/>
      <c r="H105" s="398">
        <f>SUM(,H102,H93)</f>
        <v>1</v>
      </c>
      <c r="I105" s="398">
        <f>SUM(,I102,I93)</f>
        <v>3</v>
      </c>
      <c r="J105" s="398">
        <f>SUM(,J102,J93)</f>
        <v>5</v>
      </c>
      <c r="K105" s="398">
        <f>SUM(,K102,K93)</f>
        <v>8</v>
      </c>
      <c r="L105" s="389">
        <f>SUM(,L102,L93)</f>
        <v>13</v>
      </c>
      <c r="M105" s="14"/>
      <c r="N105" s="15"/>
      <c r="O105" s="15"/>
      <c r="P105" s="15"/>
      <c r="Q105" s="16"/>
    </row>
    <row r="106" spans="1:17" ht="16" customHeight="1">
      <c r="A106" s="133"/>
      <c r="B106" s="348" t="str">
        <f>"Total "&amp;B86&amp;" Salaries"</f>
        <v>Total Operations and customer support Salaries</v>
      </c>
      <c r="C106" s="344"/>
      <c r="D106" s="344"/>
      <c r="E106" s="344"/>
      <c r="F106" s="344"/>
      <c r="G106" s="345"/>
      <c r="H106" s="349">
        <f>H94+H103</f>
        <v>40000</v>
      </c>
      <c r="I106" s="350">
        <f>I94+I103</f>
        <v>122400</v>
      </c>
      <c r="J106" s="350">
        <f>J94+J103</f>
        <v>208080</v>
      </c>
      <c r="K106" s="350">
        <f>K94+K103</f>
        <v>339586.56</v>
      </c>
      <c r="L106" s="350">
        <f>L94+L103</f>
        <v>562864.72320000001</v>
      </c>
      <c r="M106" s="14"/>
      <c r="N106" s="15"/>
      <c r="O106" s="15"/>
      <c r="P106" s="15"/>
      <c r="Q106" s="16"/>
    </row>
    <row r="107" spans="1:17" ht="16" customHeight="1">
      <c r="A107" s="133"/>
      <c r="B107" s="95" t="s">
        <v>32</v>
      </c>
      <c r="C107" s="135"/>
      <c r="D107" s="135"/>
      <c r="E107" s="135"/>
      <c r="F107" s="135"/>
      <c r="G107" s="351"/>
      <c r="H107" s="352">
        <f>H106/Revenue!H$123</f>
        <v>3.8351520592317542E-2</v>
      </c>
      <c r="I107" s="353">
        <f>I106/Revenue!I$123</f>
        <v>5.6839809749355222E-2</v>
      </c>
      <c r="J107" s="353">
        <f>J106/Revenue!J$123</f>
        <v>5.4387318197723342E-2</v>
      </c>
      <c r="K107" s="353">
        <f>K106/Revenue!K$123</f>
        <v>5.2618511245942613E-2</v>
      </c>
      <c r="L107" s="353">
        <f>L106/Revenue!L$123</f>
        <v>5.2408189287649461E-2</v>
      </c>
      <c r="M107" s="244"/>
      <c r="N107" s="15"/>
      <c r="O107" s="15"/>
      <c r="P107" s="15"/>
      <c r="Q107" s="16"/>
    </row>
    <row r="108" spans="1:17" ht="19" customHeight="1">
      <c r="A108" s="133"/>
      <c r="B108" s="391"/>
      <c r="C108" s="35"/>
      <c r="D108" s="267"/>
      <c r="E108" s="267"/>
      <c r="F108" s="267"/>
      <c r="G108" s="323"/>
      <c r="H108" s="324"/>
      <c r="I108" s="224"/>
      <c r="J108" s="224"/>
      <c r="K108" s="224"/>
      <c r="L108" s="224"/>
      <c r="M108" s="14"/>
      <c r="N108" s="15"/>
      <c r="O108" s="15"/>
      <c r="P108" s="15"/>
      <c r="Q108" s="16"/>
    </row>
    <row r="109" spans="1:17" ht="19" customHeight="1">
      <c r="A109" s="133"/>
      <c r="B109" s="124" t="s">
        <v>123</v>
      </c>
      <c r="C109" s="35"/>
      <c r="D109" s="267"/>
      <c r="E109" s="267"/>
      <c r="F109" s="267"/>
      <c r="G109" s="323"/>
      <c r="H109" s="324"/>
      <c r="I109" s="224"/>
      <c r="J109" s="224"/>
      <c r="K109" s="224"/>
      <c r="L109" s="224"/>
      <c r="M109" s="14"/>
      <c r="N109" s="15"/>
      <c r="O109" s="15"/>
      <c r="P109" s="15"/>
      <c r="Q109" s="16"/>
    </row>
    <row r="110" spans="1:17" ht="16" customHeight="1">
      <c r="A110" s="133"/>
      <c r="B110" s="14"/>
      <c r="C110" s="364" t="s">
        <v>124</v>
      </c>
      <c r="D110" s="228"/>
      <c r="E110" s="221"/>
      <c r="F110" s="221"/>
      <c r="G110" s="323"/>
      <c r="H110" s="377"/>
      <c r="I110" s="370"/>
      <c r="J110" s="370"/>
      <c r="K110" s="363"/>
      <c r="L110" s="370"/>
      <c r="M110" s="379"/>
      <c r="N110" s="380"/>
      <c r="O110" s="380"/>
      <c r="P110" s="380"/>
      <c r="Q110" s="381"/>
    </row>
    <row r="111" spans="1:17" ht="16" customHeight="1">
      <c r="A111" s="133"/>
      <c r="B111" s="14"/>
      <c r="C111" s="233" t="s">
        <v>104</v>
      </c>
      <c r="D111" s="326">
        <v>40000</v>
      </c>
      <c r="E111" s="356"/>
      <c r="F111" s="357"/>
      <c r="G111" s="358"/>
      <c r="H111" s="382"/>
      <c r="I111" s="383"/>
      <c r="J111" s="383"/>
      <c r="K111" s="370"/>
      <c r="L111" s="383"/>
      <c r="M111" s="331"/>
      <c r="N111" s="359"/>
      <c r="O111" s="359"/>
      <c r="P111" s="359"/>
      <c r="Q111" s="360"/>
    </row>
    <row r="112" spans="1:17" ht="16" customHeight="1">
      <c r="A112" s="133"/>
      <c r="B112" s="14"/>
      <c r="C112" s="233" t="s">
        <v>98</v>
      </c>
      <c r="D112" s="333">
        <v>0.1</v>
      </c>
      <c r="E112" s="232"/>
      <c r="F112" s="221"/>
      <c r="G112" s="323"/>
      <c r="H112" s="374"/>
      <c r="I112" s="375"/>
      <c r="J112" s="375"/>
      <c r="K112" s="375"/>
      <c r="L112" s="375"/>
      <c r="M112" s="14"/>
      <c r="N112" s="15"/>
      <c r="O112" s="15"/>
      <c r="P112" s="15"/>
      <c r="Q112" s="16"/>
    </row>
    <row r="113" spans="1:17" ht="16" customHeight="1">
      <c r="A113" s="133"/>
      <c r="B113" s="14"/>
      <c r="C113" s="233" t="s">
        <v>121</v>
      </c>
      <c r="D113" s="399">
        <v>3000</v>
      </c>
      <c r="E113" s="356"/>
      <c r="F113" s="357"/>
      <c r="G113" s="358"/>
      <c r="H113" s="382"/>
      <c r="I113" s="383"/>
      <c r="J113" s="383"/>
      <c r="K113" s="370"/>
      <c r="L113" s="383"/>
      <c r="M113" s="361"/>
      <c r="N113" s="359"/>
      <c r="O113" s="359"/>
      <c r="P113" s="359"/>
      <c r="Q113" s="360"/>
    </row>
    <row r="114" spans="1:17" ht="16" customHeight="1">
      <c r="A114" s="133"/>
      <c r="B114" s="14"/>
      <c r="C114" s="334" t="s">
        <v>106</v>
      </c>
      <c r="D114" s="221"/>
      <c r="E114" s="221"/>
      <c r="F114" s="221"/>
      <c r="G114" s="323"/>
      <c r="H114" s="400">
        <f>ROUND(Revenue!H42/$D113,0)</f>
        <v>1</v>
      </c>
      <c r="I114" s="400">
        <f>ROUND(Revenue!I42/$D113,0)</f>
        <v>2</v>
      </c>
      <c r="J114" s="400">
        <f>ROUND(Revenue!J42/$D113,0)</f>
        <v>3</v>
      </c>
      <c r="K114" s="400">
        <f>ROUND(Revenue!K42/$D113,0)</f>
        <v>5</v>
      </c>
      <c r="L114" s="362">
        <f>ROUND(Revenue!L42/$D113,0)</f>
        <v>9</v>
      </c>
      <c r="M114" s="331"/>
      <c r="N114" s="15"/>
      <c r="O114" s="15"/>
      <c r="P114" s="15"/>
      <c r="Q114" s="16"/>
    </row>
    <row r="115" spans="1:17" ht="16" customHeight="1">
      <c r="A115" s="133"/>
      <c r="B115" s="14"/>
      <c r="C115" s="334" t="s">
        <v>107</v>
      </c>
      <c r="D115" s="161"/>
      <c r="E115" s="357"/>
      <c r="F115" s="357"/>
      <c r="G115" s="358"/>
      <c r="H115" s="330">
        <f>H114*$D111*((1+$D112)^(H2-1))</f>
        <v>40000</v>
      </c>
      <c r="I115" s="330">
        <f>I114*$D111*((1+$D112)^(I2-1))</f>
        <v>88000</v>
      </c>
      <c r="J115" s="330">
        <f>J114*$D111*((1+$D112)^(J2-1))</f>
        <v>145200.00000000003</v>
      </c>
      <c r="K115" s="330">
        <f>K114*$D111*((1+$D112)^(K2-1))</f>
        <v>266200.00000000006</v>
      </c>
      <c r="L115" s="330">
        <f>L114*$D111*((1+$D112)^(L2-1))</f>
        <v>527076.00000000012</v>
      </c>
      <c r="M115" s="14"/>
      <c r="N115" s="15"/>
      <c r="O115" s="15"/>
      <c r="P115" s="15"/>
      <c r="Q115" s="16"/>
    </row>
    <row r="116" spans="1:17" ht="19" customHeight="1">
      <c r="A116" s="133"/>
      <c r="B116" s="395"/>
      <c r="C116" s="255"/>
      <c r="D116" s="339"/>
      <c r="E116" s="339"/>
      <c r="F116" s="339"/>
      <c r="G116" s="340"/>
      <c r="H116" s="401"/>
      <c r="I116" s="402"/>
      <c r="J116" s="402"/>
      <c r="K116" s="402"/>
      <c r="L116" s="402"/>
      <c r="M116" s="14"/>
      <c r="N116" s="15"/>
      <c r="O116" s="15"/>
      <c r="P116" s="15"/>
      <c r="Q116" s="16"/>
    </row>
    <row r="117" spans="1:17" ht="16" customHeight="1">
      <c r="A117" s="133"/>
      <c r="B117" s="343" t="str">
        <f>"Total "&amp;B109&amp;" Headcount"</f>
        <v>Total Finance and administration Headcount</v>
      </c>
      <c r="C117" s="344"/>
      <c r="D117" s="344"/>
      <c r="E117" s="344"/>
      <c r="F117" s="344"/>
      <c r="G117" s="345"/>
      <c r="H117" s="403">
        <f>SUM(H114)</f>
        <v>1</v>
      </c>
      <c r="I117" s="403">
        <f>SUM(I114)</f>
        <v>2</v>
      </c>
      <c r="J117" s="403">
        <f>SUM(J114)</f>
        <v>3</v>
      </c>
      <c r="K117" s="403">
        <f>SUM(K114)</f>
        <v>5</v>
      </c>
      <c r="L117" s="346">
        <f>SUM(L114)</f>
        <v>9</v>
      </c>
      <c r="M117" s="14"/>
      <c r="N117" s="15"/>
      <c r="O117" s="15"/>
      <c r="P117" s="15"/>
      <c r="Q117" s="16"/>
    </row>
    <row r="118" spans="1:17" ht="16" customHeight="1">
      <c r="A118" s="133"/>
      <c r="B118" s="348" t="str">
        <f>"Total "&amp;B109&amp;" Salaries"</f>
        <v>Total Finance and administration Salaries</v>
      </c>
      <c r="C118" s="344"/>
      <c r="D118" s="344"/>
      <c r="E118" s="344"/>
      <c r="F118" s="344"/>
      <c r="G118" s="345"/>
      <c r="H118" s="404">
        <f>H115</f>
        <v>40000</v>
      </c>
      <c r="I118" s="404">
        <f>I115</f>
        <v>88000</v>
      </c>
      <c r="J118" s="404">
        <f>J115</f>
        <v>145200.00000000003</v>
      </c>
      <c r="K118" s="404">
        <f>K115</f>
        <v>266200.00000000006</v>
      </c>
      <c r="L118" s="349">
        <f>L115</f>
        <v>527076.00000000012</v>
      </c>
      <c r="M118" s="14"/>
      <c r="N118" s="15"/>
      <c r="O118" s="15"/>
      <c r="P118" s="15"/>
      <c r="Q118" s="16"/>
    </row>
    <row r="119" spans="1:17" ht="16" customHeight="1">
      <c r="A119" s="133"/>
      <c r="B119" s="95" t="s">
        <v>32</v>
      </c>
      <c r="C119" s="135"/>
      <c r="D119" s="135"/>
      <c r="E119" s="135"/>
      <c r="F119" s="135"/>
      <c r="G119" s="351"/>
      <c r="H119" s="352">
        <f>H118/Revenue!H$123</f>
        <v>3.8351520592317542E-2</v>
      </c>
      <c r="I119" s="353">
        <f>I118/Revenue!I$123</f>
        <v>4.0865222695614864E-2</v>
      </c>
      <c r="J119" s="353">
        <f>J118/Revenue!J$123</f>
        <v>3.7951934843855395E-2</v>
      </c>
      <c r="K119" s="353">
        <f>K118/Revenue!K$123</f>
        <v>4.1247355883783879E-2</v>
      </c>
      <c r="L119" s="353">
        <f>L118/Revenue!L$123</f>
        <v>4.9075910495747929E-2</v>
      </c>
      <c r="M119" s="244"/>
      <c r="N119" s="15"/>
      <c r="O119" s="15"/>
      <c r="P119" s="15"/>
      <c r="Q119" s="16"/>
    </row>
    <row r="120" spans="1:17" ht="16" customHeight="1">
      <c r="A120" s="133"/>
      <c r="B120" s="405"/>
      <c r="C120" s="240"/>
      <c r="D120" s="240"/>
      <c r="E120" s="240"/>
      <c r="F120" s="240"/>
      <c r="G120" s="340"/>
      <c r="H120" s="406"/>
      <c r="I120" s="407"/>
      <c r="J120" s="407"/>
      <c r="K120" s="407"/>
      <c r="L120" s="407"/>
      <c r="M120" s="244"/>
      <c r="N120" s="15"/>
      <c r="O120" s="15"/>
      <c r="P120" s="15"/>
      <c r="Q120" s="16"/>
    </row>
    <row r="121" spans="1:17" ht="19" customHeight="1">
      <c r="A121" s="408"/>
      <c r="B121" s="409" t="str">
        <f>"Total Headcount"</f>
        <v>Total Headcount</v>
      </c>
      <c r="C121" s="410"/>
      <c r="D121" s="410"/>
      <c r="E121" s="410"/>
      <c r="F121" s="410"/>
      <c r="G121" s="411"/>
      <c r="H121" s="412">
        <f t="shared" ref="H121:L122" si="3">SUM(H28,H40,H61,H82,H105,H117)</f>
        <v>29</v>
      </c>
      <c r="I121" s="413">
        <f t="shared" si="3"/>
        <v>36</v>
      </c>
      <c r="J121" s="413">
        <f t="shared" si="3"/>
        <v>45</v>
      </c>
      <c r="K121" s="413">
        <f t="shared" si="3"/>
        <v>56</v>
      </c>
      <c r="L121" s="413">
        <f t="shared" si="3"/>
        <v>92</v>
      </c>
      <c r="M121" s="414"/>
      <c r="N121" s="415"/>
      <c r="O121" s="415"/>
      <c r="P121" s="415"/>
      <c r="Q121" s="416"/>
    </row>
    <row r="122" spans="1:17" ht="16" customHeight="1">
      <c r="A122" s="133"/>
      <c r="B122" s="348" t="str">
        <f>"Total Salaries"</f>
        <v>Total Salaries</v>
      </c>
      <c r="C122" s="344"/>
      <c r="D122" s="344"/>
      <c r="E122" s="344"/>
      <c r="F122" s="344"/>
      <c r="G122" s="345"/>
      <c r="H122" s="349">
        <f t="shared" si="3"/>
        <v>1315000</v>
      </c>
      <c r="I122" s="350">
        <f t="shared" si="3"/>
        <v>1685200</v>
      </c>
      <c r="J122" s="350">
        <f t="shared" si="3"/>
        <v>2195590</v>
      </c>
      <c r="K122" s="350">
        <f t="shared" si="3"/>
        <v>2856958.2400000007</v>
      </c>
      <c r="L122" s="350">
        <f t="shared" si="3"/>
        <v>4895312.3608000008</v>
      </c>
      <c r="M122" s="14"/>
      <c r="N122" s="15"/>
      <c r="O122" s="15"/>
      <c r="P122" s="15"/>
      <c r="Q122" s="16"/>
    </row>
    <row r="123" spans="1:17" ht="16" customHeight="1">
      <c r="A123" s="133"/>
      <c r="B123" s="95" t="s">
        <v>32</v>
      </c>
      <c r="C123" s="135"/>
      <c r="D123" s="135"/>
      <c r="E123" s="135"/>
      <c r="F123" s="135"/>
      <c r="G123" s="351"/>
      <c r="H123" s="352">
        <f>H122/Revenue!H$123</f>
        <v>1.2608062394724391</v>
      </c>
      <c r="I123" s="353">
        <f>I122/Revenue!I$123</f>
        <v>0.78256901462102468</v>
      </c>
      <c r="J123" s="353">
        <f>J122/Revenue!J$123</f>
        <v>0.57387664341474143</v>
      </c>
      <c r="K123" s="353">
        <f>K122/Revenue!K$123</f>
        <v>0.44268209342745618</v>
      </c>
      <c r="L123" s="353">
        <f>L122/Revenue!L$123</f>
        <v>0.45580127205061371</v>
      </c>
      <c r="M123" s="244"/>
      <c r="N123" s="15"/>
      <c r="O123" s="15"/>
      <c r="P123" s="15"/>
      <c r="Q123" s="16"/>
    </row>
    <row r="124" spans="1:17" ht="16" customHeight="1">
      <c r="A124" s="133"/>
      <c r="B124" s="417"/>
      <c r="C124" s="221"/>
      <c r="D124" s="221"/>
      <c r="E124" s="221"/>
      <c r="F124" s="221"/>
      <c r="G124" s="323"/>
      <c r="H124" s="418"/>
      <c r="I124" s="419"/>
      <c r="J124" s="419"/>
      <c r="K124" s="419"/>
      <c r="L124" s="419"/>
      <c r="M124" s="244"/>
      <c r="N124" s="15"/>
      <c r="O124" s="15"/>
      <c r="P124" s="15"/>
      <c r="Q124" s="16"/>
    </row>
    <row r="125" spans="1:17" ht="19" customHeight="1">
      <c r="A125" s="133"/>
      <c r="B125" s="124" t="s">
        <v>125</v>
      </c>
      <c r="C125" s="35"/>
      <c r="D125" s="267"/>
      <c r="E125" s="267"/>
      <c r="F125" s="267"/>
      <c r="G125" s="323"/>
      <c r="H125" s="324"/>
      <c r="I125" s="224"/>
      <c r="J125" s="224"/>
      <c r="K125" s="224"/>
      <c r="L125" s="224"/>
      <c r="M125" s="14"/>
      <c r="N125" s="15"/>
      <c r="O125" s="15"/>
      <c r="P125" s="15"/>
      <c r="Q125" s="16"/>
    </row>
    <row r="126" spans="1:17" ht="19" customHeight="1">
      <c r="A126" s="133"/>
      <c r="B126" s="391"/>
      <c r="C126" s="364" t="s">
        <v>238</v>
      </c>
      <c r="D126" s="322"/>
      <c r="E126" s="267"/>
      <c r="F126" s="267"/>
      <c r="G126" s="323"/>
      <c r="H126" s="324"/>
      <c r="I126" s="224"/>
      <c r="J126" s="224"/>
      <c r="K126" s="224"/>
      <c r="L126" s="224"/>
      <c r="M126" s="14"/>
      <c r="N126" s="15"/>
      <c r="O126" s="15"/>
      <c r="P126" s="15"/>
      <c r="Q126" s="16"/>
    </row>
    <row r="127" spans="1:17" ht="19" customHeight="1">
      <c r="A127" s="133"/>
      <c r="B127" s="391"/>
      <c r="C127" s="233" t="s">
        <v>126</v>
      </c>
      <c r="D127" s="229">
        <v>0.03</v>
      </c>
      <c r="E127" s="272"/>
      <c r="F127" s="267"/>
      <c r="G127" s="420" t="s">
        <v>127</v>
      </c>
      <c r="H127" s="330">
        <f>(H122*$D127)*1/100+(H122*$D127)</f>
        <v>39844.5</v>
      </c>
      <c r="I127" s="235">
        <f>(I122*$D127)*1/100+(I122*$D127)</f>
        <v>51061.56</v>
      </c>
      <c r="J127" s="235">
        <f>(J122*$D127)*1/100+(J122*$D127)</f>
        <v>66526.376999999993</v>
      </c>
      <c r="K127" s="235">
        <f>(K122*$D127)*1/100+(K122*$D127)</f>
        <v>86565.834672000012</v>
      </c>
      <c r="L127" s="235">
        <f>(L122*$D127)*1/100+(L122*$D127)</f>
        <v>148327.96453224</v>
      </c>
      <c r="M127" s="494"/>
      <c r="N127" s="15"/>
      <c r="O127" s="15"/>
      <c r="P127" s="15"/>
      <c r="Q127" s="16"/>
    </row>
    <row r="128" spans="1:17" ht="20" customHeight="1">
      <c r="A128" s="133"/>
      <c r="B128" s="421"/>
      <c r="C128" s="252"/>
      <c r="D128" s="322"/>
      <c r="E128" s="322"/>
      <c r="F128" s="322"/>
      <c r="G128" s="422"/>
      <c r="H128" s="423"/>
      <c r="I128" s="191"/>
      <c r="J128" s="191"/>
      <c r="K128" s="191"/>
      <c r="L128" s="191"/>
      <c r="M128" s="14"/>
      <c r="N128" s="15"/>
      <c r="O128" s="15"/>
      <c r="P128" s="15"/>
      <c r="Q128" s="16"/>
    </row>
    <row r="129" spans="1:17" ht="17" customHeight="1">
      <c r="A129" s="133"/>
      <c r="B129" s="90" t="str">
        <f>"Total Wage &amp; Related"</f>
        <v>Total Wage &amp; Related</v>
      </c>
      <c r="C129" s="424"/>
      <c r="D129" s="424"/>
      <c r="E129" s="424"/>
      <c r="F129" s="424"/>
      <c r="G129" s="425"/>
      <c r="H129" s="426">
        <f>SUM(H122,H127)</f>
        <v>1354844.5</v>
      </c>
      <c r="I129" s="93">
        <f>SUM(I122,I127)</f>
        <v>1736261.56</v>
      </c>
      <c r="J129" s="93">
        <f>SUM(J122,J127)</f>
        <v>2262116.3769999999</v>
      </c>
      <c r="K129" s="93">
        <f>SUM(K122,K127)</f>
        <v>2943524.0746720005</v>
      </c>
      <c r="L129" s="93">
        <f>SUM(L122,L127)</f>
        <v>5043640.3253322411</v>
      </c>
      <c r="M129" s="14"/>
      <c r="N129" s="15"/>
      <c r="O129" s="15"/>
      <c r="P129" s="15"/>
      <c r="Q129" s="16"/>
    </row>
    <row r="130" spans="1:17" ht="16" customHeight="1">
      <c r="A130" s="133"/>
      <c r="B130" s="138" t="s">
        <v>32</v>
      </c>
      <c r="C130" s="427"/>
      <c r="D130" s="427"/>
      <c r="E130" s="427"/>
      <c r="F130" s="427"/>
      <c r="G130" s="428"/>
      <c r="H130" s="429">
        <f>H129/Revenue!H$123</f>
        <v>1.2990086685284541</v>
      </c>
      <c r="I130" s="429">
        <f>I129/Revenue!I$123</f>
        <v>0.80628085576404174</v>
      </c>
      <c r="J130" s="429">
        <f>J129/Revenue!J$123</f>
        <v>0.59126510571020807</v>
      </c>
      <c r="K130" s="429">
        <f>K129/Revenue!K$123</f>
        <v>0.4560953608583081</v>
      </c>
      <c r="L130" s="429">
        <f>L129/Revenue!L$123</f>
        <v>0.46961205059374733</v>
      </c>
      <c r="M130" s="244"/>
      <c r="N130" s="15"/>
      <c r="O130" s="15"/>
      <c r="P130" s="15"/>
      <c r="Q130" s="16"/>
    </row>
    <row r="131" spans="1:17" ht="19" customHeight="1">
      <c r="A131" s="206"/>
      <c r="B131" s="430"/>
      <c r="C131" s="431"/>
      <c r="D131" s="432"/>
      <c r="E131" s="432"/>
      <c r="F131" s="432"/>
      <c r="G131" s="433"/>
      <c r="H131" s="434"/>
      <c r="I131" s="434"/>
      <c r="J131" s="434"/>
      <c r="K131" s="434"/>
      <c r="L131" s="434"/>
      <c r="M131" s="15"/>
      <c r="N131" s="15"/>
      <c r="O131" s="15"/>
      <c r="P131" s="15"/>
      <c r="Q131" s="16"/>
    </row>
    <row r="132" spans="1:17" ht="20" customHeight="1">
      <c r="A132" s="316"/>
      <c r="B132" s="317" t="s">
        <v>262</v>
      </c>
      <c r="C132" s="201"/>
      <c r="D132" s="201"/>
      <c r="E132" s="201"/>
      <c r="F132" s="201"/>
      <c r="G132" s="202"/>
      <c r="H132" s="212" t="str">
        <f t="shared" si="0"/>
        <v>Year 1</v>
      </c>
      <c r="I132" s="212" t="str">
        <f>I$3</f>
        <v>Year 2</v>
      </c>
      <c r="J132" s="212" t="str">
        <f>J$3</f>
        <v>Year 3</v>
      </c>
      <c r="K132" s="212" t="str">
        <f>K$3</f>
        <v>Year 4</v>
      </c>
      <c r="L132" s="213" t="str">
        <f>L$3</f>
        <v>Year 5</v>
      </c>
      <c r="M132" s="14"/>
      <c r="N132" s="15"/>
      <c r="O132" s="15"/>
      <c r="P132" s="15"/>
      <c r="Q132" s="16"/>
    </row>
    <row r="133" spans="1:17" ht="19" customHeight="1">
      <c r="A133" s="133"/>
      <c r="B133" s="80" t="s">
        <v>263</v>
      </c>
      <c r="C133" s="318"/>
      <c r="D133" s="273"/>
      <c r="E133" s="273"/>
      <c r="F133" s="273"/>
      <c r="G133" s="319"/>
      <c r="H133" s="320"/>
      <c r="I133" s="321"/>
      <c r="J133" s="321"/>
      <c r="K133" s="321"/>
      <c r="L133" s="321"/>
      <c r="M133" s="14"/>
      <c r="N133" s="15"/>
      <c r="O133" s="15"/>
      <c r="P133" s="15"/>
      <c r="Q133" s="16"/>
    </row>
    <row r="134" spans="1:17" ht="16" customHeight="1">
      <c r="A134" s="133"/>
      <c r="B134" s="244"/>
      <c r="C134" s="188" t="s">
        <v>264</v>
      </c>
      <c r="D134" s="322"/>
      <c r="E134" s="267"/>
      <c r="F134" s="267"/>
      <c r="G134" s="323"/>
      <c r="H134" s="324"/>
      <c r="I134" s="224"/>
      <c r="J134" s="224"/>
      <c r="K134" s="224"/>
      <c r="L134" s="224"/>
      <c r="M134" s="14"/>
      <c r="N134" s="15"/>
      <c r="O134" s="15"/>
      <c r="P134" s="15"/>
      <c r="Q134" s="16"/>
    </row>
    <row r="135" spans="1:17" ht="16" customHeight="1">
      <c r="A135" s="325"/>
      <c r="B135" s="159"/>
      <c r="C135" s="233" t="s">
        <v>264</v>
      </c>
      <c r="D135" s="326">
        <v>0</v>
      </c>
      <c r="E135" s="327"/>
      <c r="F135" s="328"/>
      <c r="G135" s="329"/>
      <c r="H135" s="330">
        <f>$D$135*Revenue!H42</f>
        <v>0</v>
      </c>
      <c r="I135" s="330">
        <f>$D$135*Revenue!I42</f>
        <v>0</v>
      </c>
      <c r="J135" s="330">
        <f>$D$135*Revenue!J42</f>
        <v>0</v>
      </c>
      <c r="K135" s="330">
        <f>$D$135*Revenue!K42</f>
        <v>0</v>
      </c>
      <c r="L135" s="330">
        <f>$D$135*Revenue!L42</f>
        <v>0</v>
      </c>
      <c r="M135" s="331"/>
      <c r="N135" s="15"/>
      <c r="O135" s="15"/>
      <c r="P135" s="15"/>
      <c r="Q135" s="16"/>
    </row>
    <row r="136" spans="1:17" ht="16" customHeight="1">
      <c r="A136" s="133"/>
      <c r="B136" s="244"/>
      <c r="C136" s="35"/>
      <c r="D136" s="267"/>
      <c r="E136" s="267"/>
      <c r="F136" s="267"/>
      <c r="G136" s="323"/>
      <c r="H136" s="324"/>
      <c r="I136" s="224"/>
      <c r="J136" s="224"/>
      <c r="K136" s="224"/>
      <c r="L136" s="224"/>
      <c r="M136" s="14"/>
      <c r="N136" s="15"/>
      <c r="O136" s="15"/>
      <c r="P136" s="15"/>
      <c r="Q136" s="16"/>
    </row>
    <row r="137" spans="1:17" ht="16" customHeight="1">
      <c r="A137" s="133"/>
      <c r="B137" s="599" t="s">
        <v>265</v>
      </c>
      <c r="C137" s="344"/>
      <c r="D137" s="344"/>
      <c r="E137" s="344"/>
      <c r="F137" s="344"/>
      <c r="G137" s="345"/>
      <c r="H137" s="346">
        <f>H135</f>
        <v>0</v>
      </c>
      <c r="I137" s="346">
        <f t="shared" ref="I137:L137" si="4">I135</f>
        <v>0</v>
      </c>
      <c r="J137" s="346">
        <f t="shared" si="4"/>
        <v>0</v>
      </c>
      <c r="K137" s="346">
        <f t="shared" si="4"/>
        <v>0</v>
      </c>
      <c r="L137" s="346">
        <f t="shared" si="4"/>
        <v>0</v>
      </c>
      <c r="M137" s="14"/>
      <c r="N137" s="15"/>
      <c r="O137" s="15"/>
      <c r="P137" s="15"/>
      <c r="Q137" s="16"/>
    </row>
    <row r="138" spans="1:17" ht="16" customHeight="1">
      <c r="A138" s="133"/>
      <c r="B138" s="348" t="s">
        <v>266</v>
      </c>
      <c r="C138" s="344"/>
      <c r="D138" s="344"/>
      <c r="E138" s="344"/>
      <c r="F138" s="344"/>
      <c r="G138" s="345"/>
      <c r="H138" s="600">
        <f>H137</f>
        <v>0</v>
      </c>
      <c r="I138" s="600">
        <f t="shared" ref="I138:L138" si="5">I137</f>
        <v>0</v>
      </c>
      <c r="J138" s="600">
        <f t="shared" si="5"/>
        <v>0</v>
      </c>
      <c r="K138" s="600">
        <f t="shared" si="5"/>
        <v>0</v>
      </c>
      <c r="L138" s="600">
        <f t="shared" si="5"/>
        <v>0</v>
      </c>
      <c r="M138" s="14"/>
      <c r="N138" s="15"/>
      <c r="O138" s="15"/>
      <c r="P138" s="15"/>
      <c r="Q138" s="16"/>
    </row>
    <row r="139" spans="1:17" ht="16" customHeight="1">
      <c r="A139" s="133"/>
      <c r="B139" s="95" t="s">
        <v>32</v>
      </c>
      <c r="C139" s="135"/>
      <c r="D139" s="135"/>
      <c r="E139" s="135"/>
      <c r="F139" s="135"/>
      <c r="G139" s="351"/>
      <c r="H139" s="352">
        <f>H138/Revenue!H$123</f>
        <v>0</v>
      </c>
      <c r="I139" s="353">
        <f>I138/Revenue!I$123</f>
        <v>0</v>
      </c>
      <c r="J139" s="353">
        <f>J138/Revenue!J$123</f>
        <v>0</v>
      </c>
      <c r="K139" s="353">
        <f>K138/Revenue!K$123</f>
        <v>0</v>
      </c>
      <c r="L139" s="353">
        <f>L138/Revenue!L$123</f>
        <v>0</v>
      </c>
      <c r="M139" s="244"/>
      <c r="N139" s="15"/>
      <c r="O139" s="15"/>
      <c r="P139" s="15"/>
      <c r="Q139" s="16"/>
    </row>
    <row r="140" spans="1:17" ht="16" customHeight="1">
      <c r="A140" s="133"/>
      <c r="B140" s="244"/>
      <c r="C140" s="35"/>
      <c r="D140" s="267"/>
      <c r="E140" s="267"/>
      <c r="F140" s="267"/>
      <c r="G140" s="323"/>
      <c r="H140" s="324"/>
      <c r="I140" s="224"/>
      <c r="J140" s="224"/>
      <c r="K140" s="224"/>
      <c r="L140" s="224"/>
      <c r="M140" s="14"/>
      <c r="N140" s="15"/>
      <c r="O140" s="15"/>
      <c r="P140" s="15"/>
      <c r="Q140" s="16"/>
    </row>
    <row r="141" spans="1:17" ht="20" customHeight="1">
      <c r="A141" s="133"/>
      <c r="B141" s="421"/>
      <c r="C141" s="252"/>
      <c r="D141" s="322"/>
      <c r="E141" s="322"/>
      <c r="F141" s="322"/>
      <c r="G141" s="422"/>
      <c r="H141" s="423"/>
      <c r="I141" s="191"/>
      <c r="J141" s="191"/>
      <c r="K141" s="191"/>
      <c r="L141" s="191"/>
      <c r="M141" s="14"/>
      <c r="N141" s="15"/>
      <c r="O141" s="15"/>
      <c r="P141" s="15"/>
      <c r="Q141" s="16"/>
    </row>
    <row r="142" spans="1:17" ht="17" customHeight="1">
      <c r="A142" s="133"/>
      <c r="B142" s="90" t="s">
        <v>267</v>
      </c>
      <c r="C142" s="424"/>
      <c r="D142" s="424"/>
      <c r="E142" s="424"/>
      <c r="F142" s="424"/>
      <c r="G142" s="425"/>
      <c r="H142" s="426">
        <f>H138</f>
        <v>0</v>
      </c>
      <c r="I142" s="426">
        <f t="shared" ref="I142:L142" si="6">I138</f>
        <v>0</v>
      </c>
      <c r="J142" s="426">
        <f t="shared" si="6"/>
        <v>0</v>
      </c>
      <c r="K142" s="426">
        <f t="shared" si="6"/>
        <v>0</v>
      </c>
      <c r="L142" s="426">
        <f t="shared" si="6"/>
        <v>0</v>
      </c>
      <c r="M142" s="14"/>
      <c r="N142" s="15"/>
      <c r="O142" s="15"/>
      <c r="P142" s="15"/>
      <c r="Q142" s="16"/>
    </row>
    <row r="143" spans="1:17" ht="16" customHeight="1">
      <c r="A143" s="133"/>
      <c r="B143" s="138" t="s">
        <v>32</v>
      </c>
      <c r="C143" s="427"/>
      <c r="D143" s="427"/>
      <c r="E143" s="427"/>
      <c r="F143" s="427"/>
      <c r="G143" s="428"/>
      <c r="H143" s="429">
        <f>H142/Revenue!H$123</f>
        <v>0</v>
      </c>
      <c r="I143" s="429">
        <f>I142/Revenue!I$123</f>
        <v>0</v>
      </c>
      <c r="J143" s="429">
        <f>J142/Revenue!J$123</f>
        <v>0</v>
      </c>
      <c r="K143" s="429">
        <f>K142/Revenue!K$123</f>
        <v>0</v>
      </c>
      <c r="L143" s="429">
        <f>L142/Revenue!L$123</f>
        <v>0</v>
      </c>
      <c r="M143" s="244"/>
      <c r="N143" s="15"/>
      <c r="O143" s="15"/>
      <c r="P143" s="15"/>
      <c r="Q143" s="16"/>
    </row>
    <row r="144" spans="1:17" ht="19" customHeight="1">
      <c r="A144" s="206"/>
      <c r="B144" s="430"/>
      <c r="C144" s="431"/>
      <c r="D144" s="432"/>
      <c r="E144" s="432"/>
      <c r="F144" s="432"/>
      <c r="G144" s="433"/>
      <c r="H144" s="434"/>
      <c r="I144" s="434"/>
      <c r="J144" s="434"/>
      <c r="K144" s="434"/>
      <c r="L144" s="434"/>
      <c r="M144" s="15"/>
      <c r="N144" s="15"/>
      <c r="O144" s="15"/>
      <c r="P144" s="15"/>
      <c r="Q144" s="16"/>
    </row>
    <row r="145" spans="1:17" ht="20" customHeight="1">
      <c r="A145" s="316"/>
      <c r="B145" s="317" t="s">
        <v>128</v>
      </c>
      <c r="C145" s="201"/>
      <c r="D145" s="201"/>
      <c r="E145" s="201"/>
      <c r="F145" s="201"/>
      <c r="G145" s="202"/>
      <c r="H145" s="212" t="str">
        <f t="shared" si="0"/>
        <v>Year 1</v>
      </c>
      <c r="I145" s="212" t="str">
        <f>I$3</f>
        <v>Year 2</v>
      </c>
      <c r="J145" s="212" t="str">
        <f>J$3</f>
        <v>Year 3</v>
      </c>
      <c r="K145" s="212" t="str">
        <f>K$3</f>
        <v>Year 4</v>
      </c>
      <c r="L145" s="213" t="str">
        <f>L$3</f>
        <v>Year 5</v>
      </c>
      <c r="M145" s="14"/>
      <c r="N145" s="15"/>
      <c r="O145" s="15"/>
      <c r="P145" s="15"/>
      <c r="Q145" s="16"/>
    </row>
    <row r="146" spans="1:17" ht="19" customHeight="1">
      <c r="A146" s="133"/>
      <c r="B146" s="80" t="s">
        <v>129</v>
      </c>
      <c r="C146" s="318"/>
      <c r="D146" s="273"/>
      <c r="E146" s="273"/>
      <c r="F146" s="273"/>
      <c r="G146" s="319"/>
      <c r="H146" s="320"/>
      <c r="I146" s="321"/>
      <c r="J146" s="321"/>
      <c r="K146" s="321"/>
      <c r="L146" s="321"/>
      <c r="M146" s="14"/>
      <c r="N146" s="15"/>
      <c r="O146" s="15"/>
      <c r="P146" s="15"/>
      <c r="Q146" s="16"/>
    </row>
    <row r="147" spans="1:17" ht="16" customHeight="1">
      <c r="A147" s="133"/>
      <c r="B147" s="14"/>
      <c r="C147" s="364" t="s">
        <v>66</v>
      </c>
      <c r="D147" s="267"/>
      <c r="E147" s="267"/>
      <c r="F147" s="267"/>
      <c r="G147" s="323"/>
      <c r="H147" s="324"/>
      <c r="I147" s="224"/>
      <c r="J147" s="224"/>
      <c r="K147" s="224"/>
      <c r="L147" s="224"/>
      <c r="M147" s="14"/>
      <c r="N147" s="15"/>
      <c r="O147" s="15"/>
      <c r="P147" s="15"/>
      <c r="Q147" s="16"/>
    </row>
    <row r="148" spans="1:17" ht="16" customHeight="1">
      <c r="A148" s="133"/>
      <c r="B148" s="14"/>
      <c r="C148" s="435" t="s">
        <v>66</v>
      </c>
      <c r="D148" s="436"/>
      <c r="E148" s="436"/>
      <c r="F148" s="436"/>
      <c r="G148" s="437"/>
      <c r="H148" s="438">
        <f>Revenue!H10</f>
        <v>150000</v>
      </c>
      <c r="I148" s="439">
        <f>Revenue!I10</f>
        <v>270000</v>
      </c>
      <c r="J148" s="439">
        <f>Revenue!J10</f>
        <v>486000</v>
      </c>
      <c r="K148" s="439">
        <f>Revenue!K10</f>
        <v>874800</v>
      </c>
      <c r="L148" s="439">
        <f>Revenue!L10</f>
        <v>1574640</v>
      </c>
      <c r="M148" s="14"/>
      <c r="N148" s="15"/>
      <c r="O148" s="15"/>
      <c r="P148" s="15"/>
      <c r="Q148" s="16"/>
    </row>
    <row r="149" spans="1:17" ht="16" customHeight="1">
      <c r="A149" s="133"/>
      <c r="B149" s="14"/>
      <c r="C149" s="440" t="s">
        <v>130</v>
      </c>
      <c r="D149" s="441"/>
      <c r="E149" s="441"/>
      <c r="F149" s="441"/>
      <c r="G149" s="442"/>
      <c r="H149" s="443">
        <f>SUM(H148)</f>
        <v>150000</v>
      </c>
      <c r="I149" s="444">
        <f>SUM(I148)</f>
        <v>270000</v>
      </c>
      <c r="J149" s="444">
        <f>SUM(J148)</f>
        <v>486000</v>
      </c>
      <c r="K149" s="444">
        <f>SUM(K148)</f>
        <v>874800</v>
      </c>
      <c r="L149" s="444">
        <f>SUM(L148)</f>
        <v>1574640</v>
      </c>
      <c r="M149" s="14"/>
      <c r="N149" s="15"/>
      <c r="O149" s="15"/>
      <c r="P149" s="15"/>
      <c r="Q149" s="16"/>
    </row>
    <row r="150" spans="1:17" ht="16" customHeight="1">
      <c r="A150" s="133"/>
      <c r="B150" s="14"/>
      <c r="C150" s="35"/>
      <c r="D150" s="267"/>
      <c r="E150" s="267"/>
      <c r="F150" s="267"/>
      <c r="G150" s="323"/>
      <c r="H150" s="330"/>
      <c r="I150" s="235"/>
      <c r="J150" s="235"/>
      <c r="K150" s="235"/>
      <c r="L150" s="235"/>
      <c r="M150" s="14"/>
      <c r="N150" s="15"/>
      <c r="O150" s="15"/>
      <c r="P150" s="15"/>
      <c r="Q150" s="16"/>
    </row>
    <row r="151" spans="1:17" ht="19" customHeight="1">
      <c r="A151" s="133"/>
      <c r="B151" s="391"/>
      <c r="C151" s="364" t="s">
        <v>131</v>
      </c>
      <c r="D151" s="322"/>
      <c r="E151" s="267"/>
      <c r="F151" s="267"/>
      <c r="G151" s="323"/>
      <c r="H151" s="330"/>
      <c r="I151" s="235"/>
      <c r="J151" s="235"/>
      <c r="K151" s="235"/>
      <c r="L151" s="235"/>
      <c r="M151" s="14"/>
      <c r="N151" s="15"/>
      <c r="O151" s="15"/>
      <c r="P151" s="15"/>
      <c r="Q151" s="16"/>
    </row>
    <row r="152" spans="1:17" ht="19" customHeight="1">
      <c r="A152" s="133"/>
      <c r="B152" s="391"/>
      <c r="C152" s="233" t="s">
        <v>270</v>
      </c>
      <c r="D152" s="229">
        <v>0.04</v>
      </c>
      <c r="E152" s="272"/>
      <c r="F152" s="267"/>
      <c r="G152" s="323"/>
      <c r="H152" s="330">
        <f>Revenue!H123*$D152</f>
        <v>41719.336685714283</v>
      </c>
      <c r="I152" s="235">
        <f>Revenue!I123*$D152</f>
        <v>86136.811885714284</v>
      </c>
      <c r="J152" s="235">
        <f>Revenue!J123*$D152</f>
        <v>153035.6758857143</v>
      </c>
      <c r="K152" s="235">
        <f>Revenue!K123*$D152</f>
        <v>258149.88068571428</v>
      </c>
      <c r="L152" s="235">
        <f>Revenue!L123*$D152</f>
        <v>429600.58788571425</v>
      </c>
      <c r="M152" s="14"/>
      <c r="N152" s="15"/>
      <c r="O152" s="15"/>
      <c r="P152" s="15"/>
      <c r="Q152" s="16"/>
    </row>
    <row r="153" spans="1:17" ht="19" customHeight="1">
      <c r="A153" s="133"/>
      <c r="B153" s="395"/>
      <c r="C153" s="255"/>
      <c r="D153" s="339"/>
      <c r="E153" s="339"/>
      <c r="F153" s="339"/>
      <c r="G153" s="340"/>
      <c r="H153" s="401"/>
      <c r="I153" s="402"/>
      <c r="J153" s="402"/>
      <c r="K153" s="402"/>
      <c r="L153" s="402"/>
      <c r="M153" s="14"/>
      <c r="N153" s="15"/>
      <c r="O153" s="15"/>
      <c r="P153" s="15"/>
      <c r="Q153" s="16"/>
    </row>
    <row r="154" spans="1:17" ht="16" customHeight="1">
      <c r="A154" s="133"/>
      <c r="B154" s="348" t="str">
        <f>"Total "&amp;B146&amp;" Expenses"</f>
        <v>Total Advertising and promotion Expenses</v>
      </c>
      <c r="C154" s="344"/>
      <c r="D154" s="344"/>
      <c r="E154" s="344"/>
      <c r="F154" s="344"/>
      <c r="G154" s="345"/>
      <c r="H154" s="349">
        <f>SUM(H149:H152)</f>
        <v>191719.33668571428</v>
      </c>
      <c r="I154" s="350">
        <f>SUM(I149:I152)</f>
        <v>356136.8118857143</v>
      </c>
      <c r="J154" s="350">
        <f>SUM(J149:J152)</f>
        <v>639035.67588571436</v>
      </c>
      <c r="K154" s="350">
        <f>SUM(K149:K152)</f>
        <v>1132949.8806857143</v>
      </c>
      <c r="L154" s="350">
        <f>SUM(L149:L152)</f>
        <v>2004240.5878857141</v>
      </c>
      <c r="M154" s="14"/>
      <c r="N154" s="15"/>
      <c r="O154" s="15"/>
      <c r="P154" s="15"/>
      <c r="Q154" s="16"/>
    </row>
    <row r="155" spans="1:17" ht="16" customHeight="1">
      <c r="A155" s="133"/>
      <c r="B155" s="95" t="s">
        <v>32</v>
      </c>
      <c r="C155" s="135"/>
      <c r="D155" s="135"/>
      <c r="E155" s="135"/>
      <c r="F155" s="135"/>
      <c r="G155" s="351"/>
      <c r="H155" s="352">
        <f>H154/[2]Revenues!H$69</f>
        <v>0.23365202434819765</v>
      </c>
      <c r="I155" s="353">
        <f>I154/[2]Revenues!I$69</f>
        <v>0.32991753922492328</v>
      </c>
      <c r="J155" s="353">
        <f>J154/[2]Revenues!J$69</f>
        <v>0.44854748840254627</v>
      </c>
      <c r="K155" s="353">
        <f>K154/[2]Revenues!K$69</f>
        <v>0.59802411770090613</v>
      </c>
      <c r="L155" s="353">
        <f>L154/[2]Revenues!L$69</f>
        <v>0.78998999653967339</v>
      </c>
      <c r="M155" s="14"/>
      <c r="N155" s="15"/>
      <c r="O155" s="15"/>
      <c r="P155" s="15"/>
      <c r="Q155" s="16"/>
    </row>
    <row r="156" spans="1:17" ht="16" customHeight="1">
      <c r="A156" s="133"/>
      <c r="B156" s="14"/>
      <c r="C156" s="35"/>
      <c r="D156" s="267"/>
      <c r="E156" s="267"/>
      <c r="F156" s="267"/>
      <c r="G156" s="323"/>
      <c r="H156" s="324"/>
      <c r="I156" s="224"/>
      <c r="J156" s="224"/>
      <c r="K156" s="224"/>
      <c r="L156" s="224"/>
      <c r="M156" s="14"/>
      <c r="N156" s="15"/>
      <c r="O156" s="15"/>
      <c r="P156" s="15"/>
      <c r="Q156" s="16"/>
    </row>
    <row r="157" spans="1:17" ht="19" customHeight="1">
      <c r="A157" s="133"/>
      <c r="B157" s="124" t="s">
        <v>133</v>
      </c>
      <c r="C157" s="35"/>
      <c r="D157" s="267"/>
      <c r="E157" s="267"/>
      <c r="F157" s="267"/>
      <c r="G157" s="323"/>
      <c r="H157" s="324"/>
      <c r="I157" s="224"/>
      <c r="J157" s="224"/>
      <c r="K157" s="224"/>
      <c r="L157" s="224"/>
      <c r="M157" s="14"/>
      <c r="N157" s="15"/>
      <c r="O157" s="15"/>
      <c r="P157" s="15"/>
      <c r="Q157" s="16"/>
    </row>
    <row r="158" spans="1:17" ht="16" customHeight="1">
      <c r="A158" s="133"/>
      <c r="B158" s="14"/>
      <c r="C158" s="364" t="s">
        <v>134</v>
      </c>
      <c r="D158" s="322"/>
      <c r="E158" s="267"/>
      <c r="F158" s="267"/>
      <c r="G158" s="323"/>
      <c r="H158" s="324"/>
      <c r="I158" s="224"/>
      <c r="J158" s="224"/>
      <c r="K158" s="224"/>
      <c r="L158" s="224"/>
      <c r="M158" s="14"/>
      <c r="N158" s="15"/>
      <c r="O158" s="15"/>
      <c r="P158" s="15"/>
      <c r="Q158" s="16"/>
    </row>
    <row r="159" spans="1:17" ht="16" customHeight="1">
      <c r="A159" s="133"/>
      <c r="B159" s="14"/>
      <c r="C159" s="233" t="s">
        <v>73</v>
      </c>
      <c r="D159" s="326">
        <v>24000</v>
      </c>
      <c r="E159" s="272"/>
      <c r="F159" s="267"/>
      <c r="G159" s="323"/>
      <c r="H159" s="324"/>
      <c r="I159" s="224"/>
      <c r="J159" s="224"/>
      <c r="K159" s="224"/>
      <c r="L159" s="224"/>
      <c r="M159" s="14"/>
      <c r="N159" s="15"/>
      <c r="O159" s="15"/>
      <c r="P159" s="15"/>
      <c r="Q159" s="16"/>
    </row>
    <row r="160" spans="1:17" ht="16" customHeight="1">
      <c r="A160" s="133"/>
      <c r="B160" s="14"/>
      <c r="C160" s="233" t="s">
        <v>197</v>
      </c>
      <c r="D160" s="495">
        <v>86000</v>
      </c>
      <c r="E160" s="272"/>
      <c r="F160" s="267"/>
      <c r="G160" s="323"/>
      <c r="H160" s="330">
        <f>D161*[2]Revenues!H19</f>
        <v>47380.410396716819</v>
      </c>
      <c r="I160" s="330">
        <f>D161*[2]Revenues!I19</f>
        <v>62240.714090287263</v>
      </c>
      <c r="J160" s="330">
        <f>D161*[2]Revenues!J19</f>
        <v>82431.360191518441</v>
      </c>
      <c r="K160" s="330">
        <f>D161*[2]Revenues!K19</f>
        <v>109992.41880300955</v>
      </c>
      <c r="L160" s="330">
        <f>D161*[2]Revenues!L19</f>
        <v>147766.17803932965</v>
      </c>
      <c r="M160" s="501"/>
      <c r="N160" s="15"/>
      <c r="O160" s="15"/>
      <c r="P160" s="15"/>
      <c r="Q160" s="16"/>
    </row>
    <row r="161" spans="1:17" ht="19" customHeight="1">
      <c r="A161" s="133"/>
      <c r="B161" s="391"/>
      <c r="C161" s="496" t="s">
        <v>198</v>
      </c>
      <c r="D161" s="497">
        <f>D159/D160</f>
        <v>0.27906976744186046</v>
      </c>
      <c r="E161" s="267"/>
      <c r="F161" s="267"/>
      <c r="G161" s="323"/>
      <c r="H161" s="330"/>
      <c r="I161" s="235"/>
      <c r="J161" s="235"/>
      <c r="K161" s="235"/>
      <c r="L161" s="235"/>
      <c r="M161" s="14"/>
      <c r="N161" s="15"/>
      <c r="O161" s="15"/>
      <c r="P161" s="15"/>
      <c r="Q161" s="16"/>
    </row>
    <row r="162" spans="1:17" ht="19" customHeight="1">
      <c r="A162" s="133"/>
      <c r="B162" s="391"/>
      <c r="C162" s="496"/>
      <c r="D162" s="267"/>
      <c r="E162" s="267"/>
      <c r="F162" s="267"/>
      <c r="G162" s="323"/>
      <c r="H162" s="330"/>
      <c r="I162" s="235"/>
      <c r="J162" s="235"/>
      <c r="K162" s="235"/>
      <c r="L162" s="235"/>
      <c r="M162" s="14"/>
      <c r="N162" s="15"/>
      <c r="O162" s="15"/>
      <c r="P162" s="15"/>
      <c r="Q162" s="16"/>
    </row>
    <row r="163" spans="1:17" ht="16" customHeight="1">
      <c r="A163" s="133"/>
      <c r="B163" s="14"/>
      <c r="C163" s="364" t="s">
        <v>135</v>
      </c>
      <c r="D163" s="322"/>
      <c r="E163" s="267"/>
      <c r="F163" s="267"/>
      <c r="G163" s="323"/>
      <c r="H163" s="330"/>
      <c r="I163" s="235"/>
      <c r="J163" s="235"/>
      <c r="K163" s="235"/>
      <c r="L163" s="235"/>
      <c r="M163" s="14"/>
      <c r="N163" s="15"/>
      <c r="O163" s="15"/>
      <c r="P163" s="15"/>
      <c r="Q163" s="16"/>
    </row>
    <row r="164" spans="1:17" ht="16" customHeight="1">
      <c r="A164" s="133"/>
      <c r="B164" s="14"/>
      <c r="C164" s="233" t="s">
        <v>199</v>
      </c>
      <c r="D164" s="326">
        <v>4000</v>
      </c>
      <c r="E164" s="272"/>
      <c r="F164" s="267"/>
      <c r="G164" s="323"/>
      <c r="H164" s="330"/>
      <c r="I164" s="235"/>
      <c r="J164" s="235"/>
      <c r="K164" s="235"/>
      <c r="L164" s="235"/>
      <c r="M164" s="14"/>
      <c r="N164" s="15"/>
      <c r="O164" s="15"/>
      <c r="P164" s="15"/>
      <c r="Q164" s="16"/>
    </row>
    <row r="165" spans="1:17" ht="16" customHeight="1">
      <c r="A165" s="133"/>
      <c r="B165" s="14"/>
      <c r="C165" s="233" t="s">
        <v>201</v>
      </c>
      <c r="D165" s="229">
        <v>0.1</v>
      </c>
      <c r="E165" s="272"/>
      <c r="F165" s="267"/>
      <c r="G165" s="323"/>
      <c r="H165" s="330">
        <f>(D164*H121)*10/100+(D164*H121)</f>
        <v>127600</v>
      </c>
      <c r="I165" s="330">
        <f>(D164*I121)*10/100+(D164*I121)</f>
        <v>158400</v>
      </c>
      <c r="J165" s="330">
        <f>(D164*J121)*10/100 +(D164*J121)</f>
        <v>198000</v>
      </c>
      <c r="K165" s="330">
        <f>(D164*K121)*10/100+(D164*K121)</f>
        <v>246400</v>
      </c>
      <c r="L165" s="499">
        <f>(D164*L121)*10/100+(D164*L121)</f>
        <v>404800</v>
      </c>
      <c r="M165" s="500"/>
      <c r="N165" s="15"/>
      <c r="O165" s="15"/>
      <c r="P165" s="15"/>
      <c r="Q165" s="16"/>
    </row>
    <row r="166" spans="1:17" ht="19" customHeight="1">
      <c r="A166" s="133"/>
      <c r="B166" s="391"/>
      <c r="C166" s="35"/>
      <c r="D166" s="267"/>
      <c r="E166" s="267"/>
      <c r="F166" s="267"/>
      <c r="G166" s="323"/>
      <c r="H166" s="330"/>
      <c r="I166" s="235"/>
      <c r="J166" s="235"/>
      <c r="K166" s="235"/>
      <c r="L166" s="235"/>
      <c r="M166" s="14"/>
      <c r="N166" s="15"/>
      <c r="O166" s="15"/>
      <c r="P166" s="15"/>
      <c r="Q166" s="16"/>
    </row>
    <row r="167" spans="1:17" ht="16" customHeight="1">
      <c r="A167" s="133"/>
      <c r="B167" s="14"/>
      <c r="C167" s="364" t="s">
        <v>136</v>
      </c>
      <c r="D167" s="322"/>
      <c r="E167" s="267"/>
      <c r="F167" s="267"/>
      <c r="G167" s="323"/>
      <c r="H167" s="330"/>
      <c r="I167" s="235"/>
      <c r="J167" s="235"/>
      <c r="K167" s="235"/>
      <c r="L167" s="235"/>
      <c r="M167" s="14"/>
      <c r="N167" s="15"/>
      <c r="O167" s="15"/>
      <c r="P167" s="15"/>
      <c r="Q167" s="16"/>
    </row>
    <row r="168" spans="1:17" ht="19" customHeight="1">
      <c r="A168" s="133"/>
      <c r="B168" s="391"/>
      <c r="C168" s="233" t="s">
        <v>270</v>
      </c>
      <c r="D168" s="333">
        <v>0.03</v>
      </c>
      <c r="E168" s="272"/>
      <c r="F168" s="267"/>
      <c r="G168" s="323"/>
      <c r="H168" s="498"/>
      <c r="I168" s="84"/>
      <c r="J168" s="84"/>
      <c r="K168" s="84"/>
      <c r="L168" s="84"/>
      <c r="M168" s="14"/>
      <c r="N168" s="15"/>
      <c r="O168" s="15"/>
      <c r="P168" s="15"/>
      <c r="Q168" s="16"/>
    </row>
    <row r="169" spans="1:17" ht="16" customHeight="1">
      <c r="A169" s="133"/>
      <c r="B169" s="14"/>
      <c r="C169" s="233" t="s">
        <v>137</v>
      </c>
      <c r="D169" s="445">
        <v>9000</v>
      </c>
      <c r="E169" s="272"/>
      <c r="F169" s="267"/>
      <c r="G169" s="323"/>
      <c r="H169" s="330">
        <f>[2]Revenues!H69*$D168+D169</f>
        <v>33616.008000000002</v>
      </c>
      <c r="I169" s="235">
        <f>[2]Revenues!I69*$D168+E169</f>
        <v>32384.166000000005</v>
      </c>
      <c r="J169" s="235">
        <f>[2]Revenues!J69*$D168+F169</f>
        <v>42740.335799999993</v>
      </c>
      <c r="K169" s="235">
        <f>[2]Revenues!K69*$D168+G169</f>
        <v>56834.658359999994</v>
      </c>
      <c r="L169" s="235">
        <f>[2]Revenues!L69*$D168+H169</f>
        <v>109727.37384000001</v>
      </c>
      <c r="M169" s="300"/>
      <c r="N169" s="15"/>
      <c r="O169" s="15"/>
      <c r="P169" s="15"/>
      <c r="Q169" s="16"/>
    </row>
    <row r="170" spans="1:17" ht="16" customHeight="1">
      <c r="A170" s="206"/>
      <c r="B170" s="163"/>
      <c r="C170" s="255"/>
      <c r="D170" s="339"/>
      <c r="E170" s="339"/>
      <c r="F170" s="339"/>
      <c r="G170" s="340"/>
      <c r="H170" s="401"/>
      <c r="I170" s="402"/>
      <c r="J170" s="402"/>
      <c r="K170" s="402"/>
      <c r="L170" s="402"/>
      <c r="M170" s="14"/>
      <c r="N170" s="15"/>
      <c r="O170" s="15"/>
      <c r="P170" s="15"/>
      <c r="Q170" s="16"/>
    </row>
    <row r="171" spans="1:17" ht="16" customHeight="1">
      <c r="A171" s="133"/>
      <c r="B171" s="348" t="str">
        <f>"Total "&amp;B158&amp;" Expenses"</f>
        <v>Total  Expenses</v>
      </c>
      <c r="C171" s="344"/>
      <c r="D171" s="344"/>
      <c r="E171" s="344"/>
      <c r="F171" s="344"/>
      <c r="G171" s="345"/>
      <c r="H171" s="349">
        <f>SUM(H161,H165,H169)</f>
        <v>161216.008</v>
      </c>
      <c r="I171" s="350">
        <f>SUM(I161,I165,I169)</f>
        <v>190784.166</v>
      </c>
      <c r="J171" s="350">
        <f>SUM(J161,J165,J169)</f>
        <v>240740.3358</v>
      </c>
      <c r="K171" s="350">
        <f>SUM(K161,K165,K169)</f>
        <v>303234.65836</v>
      </c>
      <c r="L171" s="350">
        <f>SUM(L161,L165,L169)</f>
        <v>514527.37384000001</v>
      </c>
      <c r="M171" s="14"/>
      <c r="N171" s="15"/>
      <c r="O171" s="15"/>
      <c r="P171" s="15"/>
      <c r="Q171" s="16"/>
    </row>
    <row r="172" spans="1:17" ht="16" customHeight="1">
      <c r="A172" s="133"/>
      <c r="B172" s="95" t="s">
        <v>32</v>
      </c>
      <c r="C172" s="135"/>
      <c r="D172" s="135"/>
      <c r="E172" s="135"/>
      <c r="F172" s="135"/>
      <c r="G172" s="351"/>
      <c r="H172" s="352">
        <f>H171/Revenue!H$123</f>
        <v>0.15457197626558075</v>
      </c>
      <c r="I172" s="353">
        <f>I171/Revenue!I$123</f>
        <v>8.8595879890763118E-2</v>
      </c>
      <c r="J172" s="353">
        <f>J171/Revenue!J$123</f>
        <v>6.2923977538357212E-2</v>
      </c>
      <c r="K172" s="353">
        <f>K171/Revenue!K$123</f>
        <v>4.6985829713270241E-2</v>
      </c>
      <c r="L172" s="353">
        <f>L171/Revenue!L$123</f>
        <v>4.790751114864663E-2</v>
      </c>
      <c r="M172" s="244"/>
      <c r="N172" s="15"/>
      <c r="O172" s="15"/>
      <c r="P172" s="15"/>
      <c r="Q172" s="16"/>
    </row>
    <row r="173" spans="1:17" ht="16" customHeight="1">
      <c r="A173" s="133"/>
      <c r="B173" s="417"/>
      <c r="C173" s="221"/>
      <c r="D173" s="221"/>
      <c r="E173" s="221"/>
      <c r="F173" s="221"/>
      <c r="G173" s="323"/>
      <c r="H173" s="418"/>
      <c r="I173" s="419"/>
      <c r="J173" s="419"/>
      <c r="K173" s="419"/>
      <c r="L173" s="419"/>
      <c r="M173" s="244"/>
      <c r="N173" s="15"/>
      <c r="O173" s="15"/>
      <c r="P173" s="15"/>
      <c r="Q173" s="16"/>
    </row>
    <row r="174" spans="1:17" ht="19" customHeight="1">
      <c r="A174" s="133"/>
      <c r="B174" s="124" t="s">
        <v>138</v>
      </c>
      <c r="C174" s="35"/>
      <c r="D174" s="267"/>
      <c r="E174" s="267"/>
      <c r="F174" s="267"/>
      <c r="G174" s="323"/>
      <c r="H174" s="324"/>
      <c r="I174" s="224"/>
      <c r="J174" s="224"/>
      <c r="K174" s="224"/>
      <c r="L174" s="224"/>
      <c r="M174" s="14"/>
      <c r="N174" s="15"/>
      <c r="O174" s="15"/>
      <c r="P174" s="15"/>
      <c r="Q174" s="16"/>
    </row>
    <row r="175" spans="1:17" ht="19" customHeight="1">
      <c r="A175" s="133"/>
      <c r="B175" s="391"/>
      <c r="C175" s="364" t="s">
        <v>139</v>
      </c>
      <c r="D175" s="322"/>
      <c r="E175" s="267"/>
      <c r="F175" s="267"/>
      <c r="G175" s="323"/>
      <c r="H175" s="324"/>
      <c r="I175" s="224"/>
      <c r="J175" s="224"/>
      <c r="K175" s="224"/>
      <c r="L175" s="224"/>
      <c r="M175" s="14"/>
      <c r="N175" s="15"/>
      <c r="O175" s="15"/>
      <c r="P175" s="15"/>
      <c r="Q175" s="16"/>
    </row>
    <row r="176" spans="1:17" ht="19" customHeight="1">
      <c r="A176" s="133"/>
      <c r="B176" s="391"/>
      <c r="C176" s="233" t="s">
        <v>132</v>
      </c>
      <c r="D176" s="229">
        <v>2.5000000000000001E-2</v>
      </c>
      <c r="E176" s="272"/>
      <c r="F176" s="267"/>
      <c r="G176" s="323"/>
      <c r="H176" s="330">
        <f>Revenue!H123*$D176</f>
        <v>26074.58542857143</v>
      </c>
      <c r="I176" s="235">
        <f>Revenue!I123*$D176</f>
        <v>53835.507428571436</v>
      </c>
      <c r="J176" s="235">
        <f>Revenue!J123*$D176</f>
        <v>95647.297428571444</v>
      </c>
      <c r="K176" s="235">
        <f>Revenue!K123*$D176</f>
        <v>161343.67542857141</v>
      </c>
      <c r="L176" s="235">
        <f>Revenue!L123*$D176</f>
        <v>268500.36742857139</v>
      </c>
      <c r="M176" s="331"/>
      <c r="N176" s="15"/>
      <c r="O176" s="15"/>
      <c r="P176" s="15"/>
      <c r="Q176" s="16"/>
    </row>
    <row r="177" spans="1:17" ht="19" customHeight="1">
      <c r="A177" s="133"/>
      <c r="B177" s="391"/>
      <c r="C177" s="446"/>
      <c r="D177" s="446"/>
      <c r="E177" s="267"/>
      <c r="F177" s="267"/>
      <c r="G177" s="323"/>
      <c r="H177" s="330"/>
      <c r="I177" s="235"/>
      <c r="J177" s="235"/>
      <c r="K177" s="235"/>
      <c r="L177" s="235"/>
      <c r="M177" s="14"/>
      <c r="N177" s="15"/>
      <c r="O177" s="15"/>
      <c r="P177" s="15"/>
      <c r="Q177" s="16"/>
    </row>
    <row r="178" spans="1:17" ht="19" customHeight="1">
      <c r="A178" s="133"/>
      <c r="B178" s="391"/>
      <c r="C178" s="364" t="s">
        <v>140</v>
      </c>
      <c r="D178" s="322"/>
      <c r="E178" s="267"/>
      <c r="F178" s="267"/>
      <c r="G178" s="323"/>
      <c r="H178" s="330"/>
      <c r="I178" s="235"/>
      <c r="J178" s="235"/>
      <c r="K178" s="235"/>
      <c r="L178" s="235"/>
      <c r="M178" s="14"/>
      <c r="N178" s="15"/>
      <c r="O178" s="15"/>
      <c r="P178" s="15"/>
      <c r="Q178" s="16"/>
    </row>
    <row r="179" spans="1:17" ht="19" customHeight="1">
      <c r="A179" s="133"/>
      <c r="B179" s="391"/>
      <c r="C179" s="233" t="s">
        <v>141</v>
      </c>
      <c r="D179" s="326">
        <v>600</v>
      </c>
      <c r="E179" s="272"/>
      <c r="F179" s="267"/>
      <c r="G179" s="323"/>
      <c r="H179" s="330"/>
      <c r="I179" s="235"/>
      <c r="J179" s="235"/>
      <c r="K179" s="235"/>
      <c r="L179" s="235"/>
      <c r="M179" s="14"/>
      <c r="N179" s="15"/>
      <c r="O179" s="15"/>
      <c r="P179" s="15"/>
      <c r="Q179" s="16"/>
    </row>
    <row r="180" spans="1:17" ht="19" customHeight="1">
      <c r="A180" s="133"/>
      <c r="B180" s="391"/>
      <c r="C180" s="233" t="s">
        <v>142</v>
      </c>
      <c r="D180" s="447">
        <v>1E-4</v>
      </c>
      <c r="E180" s="272"/>
      <c r="F180" s="267"/>
      <c r="G180" s="323"/>
      <c r="H180" s="330">
        <f>$D179+$D180*Revenue!H123</f>
        <v>704.2983417142857</v>
      </c>
      <c r="I180" s="235">
        <f>$D179+$D180*Revenue!I123</f>
        <v>815.34202971428567</v>
      </c>
      <c r="J180" s="235">
        <f>$D179+$D180*Revenue!J123</f>
        <v>982.58918971428579</v>
      </c>
      <c r="K180" s="235">
        <f>$D179+$D180*Revenue!K123</f>
        <v>1245.3747017142857</v>
      </c>
      <c r="L180" s="235">
        <f>$D179+$D180*Revenue!L123</f>
        <v>1674.0014697142856</v>
      </c>
      <c r="M180" s="492"/>
      <c r="N180" s="15"/>
      <c r="O180" s="15"/>
      <c r="P180" s="15"/>
      <c r="Q180" s="16"/>
    </row>
    <row r="181" spans="1:17" ht="19" customHeight="1">
      <c r="A181" s="133"/>
      <c r="B181" s="395"/>
      <c r="C181" s="255"/>
      <c r="D181" s="339"/>
      <c r="E181" s="339"/>
      <c r="F181" s="339"/>
      <c r="G181" s="340"/>
      <c r="H181" s="401"/>
      <c r="I181" s="402"/>
      <c r="J181" s="402"/>
      <c r="K181" s="402"/>
      <c r="L181" s="402"/>
      <c r="M181" s="14"/>
      <c r="N181" s="15"/>
      <c r="O181" s="15"/>
      <c r="P181" s="15"/>
      <c r="Q181" s="16"/>
    </row>
    <row r="182" spans="1:17" ht="16" customHeight="1">
      <c r="A182" s="133"/>
      <c r="B182" s="348" t="str">
        <f>"Total "&amp;B174&amp;" Expenses"</f>
        <v>Total Banking and insurance Expenses</v>
      </c>
      <c r="C182" s="344"/>
      <c r="D182" s="344"/>
      <c r="E182" s="344"/>
      <c r="F182" s="344"/>
      <c r="G182" s="345"/>
      <c r="H182" s="349">
        <f>SUM(H176,H180)</f>
        <v>26778.883770285716</v>
      </c>
      <c r="I182" s="349">
        <f t="shared" ref="I182:L182" si="7">SUM(I176,I180)</f>
        <v>54650.849458285724</v>
      </c>
      <c r="J182" s="349">
        <f t="shared" si="7"/>
        <v>96629.886618285731</v>
      </c>
      <c r="K182" s="349">
        <f t="shared" si="7"/>
        <v>162589.0501302857</v>
      </c>
      <c r="L182" s="349">
        <f t="shared" si="7"/>
        <v>270174.36889828567</v>
      </c>
      <c r="M182" s="14"/>
      <c r="N182" s="15"/>
      <c r="O182" s="15"/>
      <c r="P182" s="15"/>
      <c r="Q182" s="16"/>
    </row>
    <row r="183" spans="1:17" ht="16" customHeight="1">
      <c r="A183" s="133"/>
      <c r="B183" s="95" t="s">
        <v>32</v>
      </c>
      <c r="C183" s="135"/>
      <c r="D183" s="135"/>
      <c r="E183" s="135"/>
      <c r="F183" s="135"/>
      <c r="G183" s="351"/>
      <c r="H183" s="352">
        <f>H182/Revenue!H$123</f>
        <v>2.5675272808884767E-2</v>
      </c>
      <c r="I183" s="353">
        <f>I182/Revenue!I$123</f>
        <v>2.5378626518379195E-2</v>
      </c>
      <c r="J183" s="353">
        <f>J182/Revenue!J$123</f>
        <v>2.5256826177040729E-2</v>
      </c>
      <c r="K183" s="353">
        <f>K182/Revenue!K$123</f>
        <v>2.5192969246920625E-2</v>
      </c>
      <c r="L183" s="353">
        <f>L182/Revenue!L$123</f>
        <v>2.5155865845338143E-2</v>
      </c>
      <c r="M183" s="244"/>
      <c r="N183" s="15"/>
      <c r="O183" s="15"/>
      <c r="P183" s="15"/>
      <c r="Q183" s="16"/>
    </row>
    <row r="184" spans="1:17" ht="16" customHeight="1">
      <c r="A184" s="133"/>
      <c r="B184" s="417"/>
      <c r="C184" s="221"/>
      <c r="D184" s="221"/>
      <c r="E184" s="221"/>
      <c r="F184" s="221"/>
      <c r="G184" s="323"/>
      <c r="H184" s="418"/>
      <c r="I184" s="419"/>
      <c r="J184" s="419"/>
      <c r="K184" s="419"/>
      <c r="L184" s="419"/>
      <c r="M184" s="244"/>
      <c r="N184" s="15"/>
      <c r="O184" s="15"/>
      <c r="P184" s="15"/>
      <c r="Q184" s="16"/>
    </row>
    <row r="185" spans="1:17" ht="19" customHeight="1">
      <c r="A185" s="133"/>
      <c r="B185" s="124" t="s">
        <v>143</v>
      </c>
      <c r="C185" s="35"/>
      <c r="D185" s="267"/>
      <c r="E185" s="267"/>
      <c r="F185" s="267"/>
      <c r="G185" s="323"/>
      <c r="H185" s="324"/>
      <c r="I185" s="224"/>
      <c r="J185" s="224"/>
      <c r="K185" s="224"/>
      <c r="L185" s="224"/>
      <c r="M185" s="14"/>
      <c r="N185" s="15"/>
      <c r="O185" s="15"/>
      <c r="P185" s="15"/>
      <c r="Q185" s="16"/>
    </row>
    <row r="186" spans="1:17" ht="19" customHeight="1">
      <c r="A186" s="133"/>
      <c r="B186" s="391"/>
      <c r="C186" s="364" t="s">
        <v>144</v>
      </c>
      <c r="D186" s="322"/>
      <c r="E186" s="267"/>
      <c r="F186" s="267"/>
      <c r="G186" s="323"/>
      <c r="H186" s="324"/>
      <c r="I186" s="224"/>
      <c r="J186" s="224"/>
      <c r="K186" s="224"/>
      <c r="L186" s="224"/>
      <c r="M186" s="14"/>
      <c r="N186" s="15"/>
      <c r="O186" s="15"/>
      <c r="P186" s="15"/>
      <c r="Q186" s="16"/>
    </row>
    <row r="187" spans="1:17" ht="19" customHeight="1">
      <c r="A187" s="133"/>
      <c r="B187" s="391"/>
      <c r="C187" s="233" t="s">
        <v>141</v>
      </c>
      <c r="D187" s="326">
        <v>12000</v>
      </c>
      <c r="E187" s="272"/>
      <c r="F187" s="267"/>
      <c r="G187" s="323"/>
      <c r="H187" s="324"/>
      <c r="I187" s="224"/>
      <c r="J187" s="224"/>
      <c r="K187" s="224"/>
      <c r="L187" s="224"/>
      <c r="M187" s="14"/>
      <c r="N187" s="15"/>
      <c r="O187" s="15"/>
      <c r="P187" s="15"/>
      <c r="Q187" s="16"/>
    </row>
    <row r="188" spans="1:17" ht="19" customHeight="1">
      <c r="A188" s="133"/>
      <c r="B188" s="391"/>
      <c r="C188" s="233" t="s">
        <v>142</v>
      </c>
      <c r="D188" s="447">
        <v>1E-3</v>
      </c>
      <c r="E188" s="272"/>
      <c r="F188" s="267"/>
      <c r="G188" s="323"/>
      <c r="H188" s="330">
        <f>$D187+$D188*Revenue!H123</f>
        <v>13042.983417142857</v>
      </c>
      <c r="I188" s="235">
        <f>$D187+$D188*Revenue!I123</f>
        <v>14153.420297142857</v>
      </c>
      <c r="J188" s="235">
        <f>$D187+$D188*Revenue!J123</f>
        <v>15825.891897142857</v>
      </c>
      <c r="K188" s="235">
        <f>$D187+$D188*Revenue!K123</f>
        <v>18453.747017142858</v>
      </c>
      <c r="L188" s="235">
        <f>$D187+$D188*Revenue!L123</f>
        <v>22740.014697142855</v>
      </c>
      <c r="M188" s="14"/>
      <c r="N188" s="15"/>
      <c r="O188" s="15"/>
      <c r="P188" s="15"/>
      <c r="Q188" s="16"/>
    </row>
    <row r="189" spans="1:17" ht="19" customHeight="1">
      <c r="A189" s="133"/>
      <c r="B189" s="391"/>
      <c r="C189" s="35"/>
      <c r="D189" s="267"/>
      <c r="E189" s="267"/>
      <c r="F189" s="267"/>
      <c r="G189" s="323"/>
      <c r="H189" s="330"/>
      <c r="I189" s="235"/>
      <c r="J189" s="235"/>
      <c r="K189" s="235"/>
      <c r="L189" s="235"/>
      <c r="M189" s="14"/>
      <c r="N189" s="15"/>
      <c r="O189" s="15"/>
      <c r="P189" s="15"/>
      <c r="Q189" s="16"/>
    </row>
    <row r="190" spans="1:17" ht="19" customHeight="1">
      <c r="A190" s="133"/>
      <c r="B190" s="391"/>
      <c r="C190" s="364" t="s">
        <v>145</v>
      </c>
      <c r="D190" s="322"/>
      <c r="E190" s="267"/>
      <c r="F190" s="267"/>
      <c r="G190" s="323"/>
      <c r="H190" s="330"/>
      <c r="I190" s="235"/>
      <c r="J190" s="235"/>
      <c r="K190" s="235"/>
      <c r="L190" s="235"/>
      <c r="M190" s="14"/>
      <c r="N190" s="15"/>
      <c r="O190" s="15"/>
      <c r="P190" s="15"/>
      <c r="Q190" s="16"/>
    </row>
    <row r="191" spans="1:17" ht="19" customHeight="1">
      <c r="A191" s="133"/>
      <c r="B191" s="391"/>
      <c r="C191" s="233" t="s">
        <v>210</v>
      </c>
      <c r="D191" s="447">
        <v>0.04</v>
      </c>
      <c r="E191" s="272"/>
      <c r="F191" s="267"/>
      <c r="G191" s="323"/>
      <c r="H191" s="330"/>
      <c r="I191" s="235"/>
      <c r="J191" s="235"/>
      <c r="K191" s="235"/>
      <c r="L191" s="235"/>
      <c r="M191" s="14"/>
      <c r="N191" s="15"/>
      <c r="O191" s="15"/>
      <c r="P191" s="15"/>
      <c r="Q191" s="16"/>
    </row>
    <row r="192" spans="1:17" ht="19" customHeight="1">
      <c r="A192" s="133"/>
      <c r="B192" s="391"/>
      <c r="C192" s="233" t="s">
        <v>202</v>
      </c>
      <c r="D192" s="326">
        <v>240</v>
      </c>
      <c r="E192" s="272"/>
      <c r="F192" s="267"/>
      <c r="G192" s="323"/>
      <c r="H192" s="330">
        <f>$D191*Revenue!H$123+$D192*H121</f>
        <v>48679.336685714283</v>
      </c>
      <c r="I192" s="330">
        <f>$D191*Revenue!I$123+$D192*I121</f>
        <v>94776.811885714284</v>
      </c>
      <c r="J192" s="330">
        <f>$D191*Revenue!J$123+$D192*J121</f>
        <v>163835.6758857143</v>
      </c>
      <c r="K192" s="330">
        <f>$D191*Revenue!K$123+$D192*K121</f>
        <v>271589.88068571431</v>
      </c>
      <c r="L192" s="330">
        <f>$D191*Revenue!L$123+$D192*L121</f>
        <v>451680.58788571425</v>
      </c>
      <c r="M192" s="492"/>
      <c r="N192" s="15"/>
      <c r="O192" s="15"/>
      <c r="P192" s="15"/>
      <c r="Q192" s="16"/>
    </row>
    <row r="193" spans="1:17" ht="19" customHeight="1">
      <c r="A193" s="133"/>
      <c r="B193" s="395"/>
      <c r="C193" s="255"/>
      <c r="D193" s="339"/>
      <c r="E193" s="339"/>
      <c r="F193" s="339"/>
      <c r="G193" s="340"/>
      <c r="H193" s="401"/>
      <c r="I193" s="402"/>
      <c r="J193" s="402"/>
      <c r="K193" s="402"/>
      <c r="L193" s="402"/>
      <c r="M193" s="493"/>
      <c r="N193" s="15"/>
      <c r="O193" s="15"/>
      <c r="P193" s="15"/>
      <c r="Q193" s="16"/>
    </row>
    <row r="194" spans="1:17" ht="16" customHeight="1">
      <c r="A194" s="133"/>
      <c r="B194" s="348" t="str">
        <f>"Total "&amp;B185&amp;" Expenses"</f>
        <v>Total Professional services Expenses</v>
      </c>
      <c r="C194" s="344"/>
      <c r="D194" s="344"/>
      <c r="E194" s="344"/>
      <c r="F194" s="344"/>
      <c r="G194" s="345"/>
      <c r="H194" s="349">
        <f>SUM(H188,H192)</f>
        <v>61722.320102857142</v>
      </c>
      <c r="I194" s="350">
        <f>SUM(I188,I192)</f>
        <v>108930.23218285714</v>
      </c>
      <c r="J194" s="350">
        <f>SUM(J188,J192)</f>
        <v>179661.56778285716</v>
      </c>
      <c r="K194" s="350">
        <f>SUM(K188,K192)</f>
        <v>290043.62770285713</v>
      </c>
      <c r="L194" s="350">
        <f>SUM(L188,L192)</f>
        <v>474420.60258285713</v>
      </c>
      <c r="M194" s="14"/>
      <c r="N194" s="15"/>
      <c r="O194" s="15"/>
      <c r="P194" s="15"/>
      <c r="Q194" s="16"/>
    </row>
    <row r="195" spans="1:17" ht="16" customHeight="1">
      <c r="A195" s="133"/>
      <c r="B195" s="95" t="s">
        <v>32</v>
      </c>
      <c r="C195" s="135"/>
      <c r="D195" s="135"/>
      <c r="E195" s="135"/>
      <c r="F195" s="135"/>
      <c r="G195" s="351"/>
      <c r="H195" s="352">
        <f>H194/Revenue!H$123</f>
        <v>5.9178620760758513E-2</v>
      </c>
      <c r="I195" s="353">
        <f>I194/Revenue!I$123</f>
        <v>5.0584752232244214E-2</v>
      </c>
      <c r="J195" s="353">
        <f>J194/Revenue!J$123</f>
        <v>4.6959394727547545E-2</v>
      </c>
      <c r="K195" s="353">
        <f>K194/Revenue!K$123</f>
        <v>4.4941896069434495E-2</v>
      </c>
      <c r="L195" s="353">
        <f>L194/Revenue!L$123</f>
        <v>4.417318001520671E-2</v>
      </c>
      <c r="M195" s="244"/>
      <c r="N195" s="15"/>
      <c r="O195" s="15"/>
      <c r="P195" s="15"/>
      <c r="Q195" s="16"/>
    </row>
    <row r="196" spans="1:17" ht="19" customHeight="1">
      <c r="A196" s="133"/>
      <c r="B196" s="391"/>
      <c r="C196" s="35"/>
      <c r="D196" s="267"/>
      <c r="E196" s="267"/>
      <c r="F196" s="267"/>
      <c r="G196" s="323"/>
      <c r="H196" s="324"/>
      <c r="I196" s="224"/>
      <c r="J196" s="224"/>
      <c r="K196" s="224"/>
      <c r="L196" s="224"/>
      <c r="M196" s="14"/>
      <c r="N196" s="15"/>
      <c r="O196" s="15"/>
      <c r="P196" s="15"/>
      <c r="Q196" s="16"/>
    </row>
    <row r="197" spans="1:17" ht="19" customHeight="1">
      <c r="A197" s="133"/>
      <c r="B197" s="124" t="s">
        <v>146</v>
      </c>
      <c r="C197" s="35"/>
      <c r="D197" s="267"/>
      <c r="E197" s="267"/>
      <c r="F197" s="267"/>
      <c r="G197" s="323"/>
      <c r="H197" s="324"/>
      <c r="I197" s="224"/>
      <c r="J197" s="224"/>
      <c r="K197" s="224"/>
      <c r="L197" s="224"/>
      <c r="M197" s="14"/>
      <c r="N197" s="15"/>
      <c r="O197" s="15"/>
      <c r="P197" s="15"/>
      <c r="Q197" s="16"/>
    </row>
    <row r="198" spans="1:17" ht="19" customHeight="1">
      <c r="A198" s="133"/>
      <c r="B198" s="391"/>
      <c r="C198" s="364" t="s">
        <v>147</v>
      </c>
      <c r="D198" s="322"/>
      <c r="E198" s="267" t="s">
        <v>204</v>
      </c>
      <c r="F198" s="267"/>
      <c r="G198" s="323"/>
      <c r="H198" s="324"/>
      <c r="I198" s="224"/>
      <c r="J198" s="224"/>
      <c r="K198" s="224"/>
      <c r="L198" s="224"/>
      <c r="M198" s="14"/>
      <c r="N198" s="15"/>
      <c r="O198" s="15"/>
      <c r="P198" s="15"/>
      <c r="Q198" s="16"/>
    </row>
    <row r="199" spans="1:17" ht="19" customHeight="1">
      <c r="A199" s="133"/>
      <c r="B199" s="391"/>
      <c r="C199" s="233" t="s">
        <v>203</v>
      </c>
      <c r="D199" s="445">
        <v>12000</v>
      </c>
      <c r="E199" s="445">
        <v>24000</v>
      </c>
      <c r="F199" s="267"/>
      <c r="G199" s="420" t="str">
        <f>C198</f>
        <v>Rent &amp; Office</v>
      </c>
      <c r="H199" s="330">
        <f>D199*(1+$D$200)</f>
        <v>12120</v>
      </c>
      <c r="I199" s="235">
        <f>E199*(1+D200)</f>
        <v>24240</v>
      </c>
      <c r="J199" s="235">
        <f>I199*(1+$D$200)</f>
        <v>24482.400000000001</v>
      </c>
      <c r="K199" s="235">
        <f t="shared" ref="K199:L199" si="8">J199*(1+$D$200)</f>
        <v>24727.224000000002</v>
      </c>
      <c r="L199" s="235">
        <f t="shared" si="8"/>
        <v>24974.496240000004</v>
      </c>
      <c r="M199" s="492"/>
      <c r="N199" s="15"/>
      <c r="O199" s="15"/>
      <c r="P199" s="15"/>
      <c r="Q199" s="16"/>
    </row>
    <row r="200" spans="1:17" ht="19" customHeight="1">
      <c r="A200" s="133"/>
      <c r="B200" s="391"/>
      <c r="C200" s="334" t="s">
        <v>205</v>
      </c>
      <c r="D200" s="447">
        <v>0.01</v>
      </c>
      <c r="E200" s="267"/>
      <c r="F200" s="267"/>
      <c r="G200" s="420"/>
      <c r="H200" s="330"/>
      <c r="I200" s="235"/>
      <c r="J200" s="235"/>
      <c r="K200" s="235"/>
      <c r="L200" s="235"/>
      <c r="M200" s="492"/>
      <c r="N200" s="15"/>
      <c r="O200" s="15"/>
      <c r="P200" s="15"/>
      <c r="Q200" s="16"/>
    </row>
    <row r="201" spans="1:17" ht="19" customHeight="1">
      <c r="A201" s="133"/>
      <c r="B201" s="391"/>
      <c r="C201" s="446"/>
      <c r="D201" s="446"/>
      <c r="E201" s="267"/>
      <c r="F201" s="267"/>
      <c r="G201" s="323"/>
      <c r="H201" s="330"/>
      <c r="I201" s="235"/>
      <c r="J201" s="235"/>
      <c r="K201" s="235"/>
      <c r="L201" s="235"/>
      <c r="M201" s="14"/>
      <c r="N201" s="15"/>
      <c r="O201" s="15"/>
      <c r="P201" s="15"/>
      <c r="Q201" s="16"/>
    </row>
    <row r="202" spans="1:17" ht="19" customHeight="1">
      <c r="A202" s="133"/>
      <c r="B202" s="391"/>
      <c r="C202" s="364" t="s">
        <v>149</v>
      </c>
      <c r="D202" s="322"/>
      <c r="E202" s="267"/>
      <c r="F202" s="267"/>
      <c r="G202" s="323"/>
      <c r="H202" s="330"/>
      <c r="I202" s="235"/>
      <c r="J202" s="235"/>
      <c r="K202" s="235"/>
      <c r="L202" s="235"/>
      <c r="M202" s="14"/>
      <c r="N202" s="15"/>
      <c r="O202" s="15"/>
      <c r="P202" s="15"/>
      <c r="Q202" s="16"/>
    </row>
    <row r="203" spans="1:17" ht="19" customHeight="1">
      <c r="A203" s="133"/>
      <c r="B203" s="391"/>
      <c r="C203" s="233" t="s">
        <v>141</v>
      </c>
      <c r="D203" s="445">
        <v>4000</v>
      </c>
      <c r="E203" s="272"/>
      <c r="F203" s="267"/>
      <c r="G203" s="420" t="str">
        <f>C202</f>
        <v>Utilities, Telephone &amp; Internet</v>
      </c>
      <c r="H203" s="330">
        <f>D203</f>
        <v>4000</v>
      </c>
      <c r="I203" s="235">
        <f>H203+(1+$D$204)</f>
        <v>4001.01</v>
      </c>
      <c r="J203" s="235">
        <f t="shared" ref="J203:L203" si="9">I203+(1+$D$204)</f>
        <v>4002.0200000000004</v>
      </c>
      <c r="K203" s="235">
        <f t="shared" si="9"/>
        <v>4003.0300000000007</v>
      </c>
      <c r="L203" s="235">
        <f t="shared" si="9"/>
        <v>4004.0400000000009</v>
      </c>
      <c r="M203" s="492"/>
      <c r="N203" s="15"/>
      <c r="O203" s="15"/>
      <c r="P203" s="15"/>
      <c r="Q203" s="16"/>
    </row>
    <row r="204" spans="1:17" ht="19" customHeight="1">
      <c r="A204" s="133"/>
      <c r="B204" s="391"/>
      <c r="C204" s="334" t="s">
        <v>206</v>
      </c>
      <c r="D204" s="447">
        <v>0.01</v>
      </c>
      <c r="E204" s="267"/>
      <c r="F204" s="267"/>
      <c r="G204" s="420"/>
      <c r="H204" s="330"/>
      <c r="I204" s="235"/>
      <c r="J204" s="235"/>
      <c r="K204" s="235"/>
      <c r="L204" s="235"/>
      <c r="M204" s="492"/>
      <c r="N204" s="15"/>
      <c r="O204" s="15"/>
      <c r="P204" s="15"/>
      <c r="Q204" s="16"/>
    </row>
    <row r="205" spans="1:17" ht="19" customHeight="1">
      <c r="A205" s="133"/>
      <c r="B205" s="391"/>
      <c r="C205" s="35"/>
      <c r="D205" s="267"/>
      <c r="E205" s="267"/>
      <c r="F205" s="267"/>
      <c r="G205" s="323"/>
      <c r="H205" s="330"/>
      <c r="I205" s="235"/>
      <c r="J205" s="235"/>
      <c r="K205" s="235"/>
      <c r="L205" s="235"/>
      <c r="M205" s="14"/>
      <c r="N205" s="15"/>
      <c r="O205" s="15"/>
      <c r="P205" s="15"/>
      <c r="Q205" s="16"/>
    </row>
    <row r="206" spans="1:17" ht="16" customHeight="1">
      <c r="A206" s="133"/>
      <c r="B206" s="348" t="str">
        <f>"Total "&amp;B197&amp;" Expenses"</f>
        <v>Total Facilities and infrastructure Expenses</v>
      </c>
      <c r="C206" s="344"/>
      <c r="D206" s="344"/>
      <c r="E206" s="344"/>
      <c r="F206" s="344"/>
      <c r="G206" s="345"/>
      <c r="H206" s="349">
        <f>SUM(H203,H199)</f>
        <v>16120</v>
      </c>
      <c r="I206" s="349">
        <f t="shared" ref="I206:L206" si="10">SUM(I203,I199)</f>
        <v>28241.010000000002</v>
      </c>
      <c r="J206" s="349">
        <f t="shared" si="10"/>
        <v>28484.420000000002</v>
      </c>
      <c r="K206" s="349">
        <f t="shared" si="10"/>
        <v>28730.254000000001</v>
      </c>
      <c r="L206" s="349">
        <f t="shared" si="10"/>
        <v>28978.536240000005</v>
      </c>
      <c r="M206" s="14"/>
      <c r="N206" s="15"/>
      <c r="O206" s="15"/>
      <c r="P206" s="15"/>
      <c r="Q206" s="16"/>
    </row>
    <row r="207" spans="1:17" ht="16" customHeight="1">
      <c r="A207" s="133"/>
      <c r="B207" s="95" t="s">
        <v>32</v>
      </c>
      <c r="C207" s="135"/>
      <c r="D207" s="135"/>
      <c r="E207" s="135"/>
      <c r="F207" s="135"/>
      <c r="G207" s="351"/>
      <c r="H207" s="352">
        <f>H206/Revenue!H$123</f>
        <v>1.545566279870397E-2</v>
      </c>
      <c r="I207" s="353">
        <f>I206/Revenue!I$123</f>
        <v>1.3114490486353256E-2</v>
      </c>
      <c r="J207" s="353">
        <f>J206/Revenue!J$123</f>
        <v>7.4451711563706018E-3</v>
      </c>
      <c r="K207" s="353">
        <f>K206/Revenue!K$123</f>
        <v>4.4517167970304474E-3</v>
      </c>
      <c r="L207" s="353">
        <f>L206/Revenue!L$123</f>
        <v>2.6981840395161752E-3</v>
      </c>
      <c r="M207" s="244"/>
      <c r="N207" s="15"/>
      <c r="O207" s="15"/>
      <c r="P207" s="15"/>
      <c r="Q207" s="16"/>
    </row>
    <row r="208" spans="1:17" ht="19" customHeight="1">
      <c r="A208" s="133"/>
      <c r="B208" s="391"/>
      <c r="C208" s="35"/>
      <c r="D208" s="267"/>
      <c r="E208" s="267"/>
      <c r="F208" s="267"/>
      <c r="G208" s="323"/>
      <c r="H208" s="324"/>
      <c r="I208" s="224"/>
      <c r="J208" s="224"/>
      <c r="K208" s="224"/>
      <c r="L208" s="224"/>
      <c r="M208" s="14"/>
      <c r="N208" s="15"/>
      <c r="O208" s="15"/>
      <c r="P208" s="15"/>
      <c r="Q208" s="16"/>
    </row>
    <row r="209" spans="1:17" ht="19" customHeight="1">
      <c r="A209" s="133"/>
      <c r="B209" s="124" t="s">
        <v>150</v>
      </c>
      <c r="C209" s="35"/>
      <c r="D209" s="267"/>
      <c r="E209" s="267"/>
      <c r="F209" s="267"/>
      <c r="G209" s="323"/>
      <c r="H209" s="324"/>
      <c r="I209" s="224"/>
      <c r="J209" s="224"/>
      <c r="K209" s="224"/>
      <c r="L209" s="224"/>
      <c r="M209" s="14"/>
      <c r="N209" s="15"/>
      <c r="O209" s="15"/>
      <c r="P209" s="15"/>
      <c r="Q209" s="16"/>
    </row>
    <row r="210" spans="1:17" ht="16" customHeight="1">
      <c r="A210" s="133"/>
      <c r="B210" s="14"/>
      <c r="C210" s="364" t="s">
        <v>151</v>
      </c>
      <c r="D210" s="322"/>
      <c r="E210" s="267"/>
      <c r="F210" s="267"/>
      <c r="G210" s="323"/>
      <c r="H210" s="324"/>
      <c r="I210" s="224"/>
      <c r="J210" s="224"/>
      <c r="K210" s="224"/>
      <c r="L210" s="224"/>
      <c r="M210" s="14"/>
      <c r="N210" s="15"/>
      <c r="O210" s="15"/>
      <c r="P210" s="15"/>
      <c r="Q210" s="16"/>
    </row>
    <row r="211" spans="1:17" ht="16" customHeight="1">
      <c r="A211" s="133"/>
      <c r="B211" s="14"/>
      <c r="C211" s="233" t="s">
        <v>148</v>
      </c>
      <c r="D211" s="445">
        <v>1200</v>
      </c>
      <c r="E211" s="272"/>
      <c r="F211" s="267"/>
      <c r="G211" s="448"/>
      <c r="H211" s="330">
        <f>$D211*H$121</f>
        <v>34800</v>
      </c>
      <c r="I211" s="235">
        <f>$D211*I$121</f>
        <v>43200</v>
      </c>
      <c r="J211" s="235">
        <f>$D211*J$121</f>
        <v>54000</v>
      </c>
      <c r="K211" s="235">
        <f>$D211*K$121</f>
        <v>67200</v>
      </c>
      <c r="L211" s="235">
        <f>$D211*L$121</f>
        <v>110400</v>
      </c>
      <c r="M211" s="14"/>
      <c r="N211" s="15"/>
      <c r="O211" s="15"/>
      <c r="P211" s="15"/>
      <c r="Q211" s="16"/>
    </row>
    <row r="212" spans="1:17" ht="16" customHeight="1">
      <c r="A212" s="133"/>
      <c r="B212" s="14"/>
      <c r="C212" s="35"/>
      <c r="D212" s="267"/>
      <c r="E212" s="267"/>
      <c r="F212" s="267"/>
      <c r="G212" s="323"/>
      <c r="H212" s="330"/>
      <c r="I212" s="235"/>
      <c r="J212" s="235"/>
      <c r="K212" s="235"/>
      <c r="L212" s="235"/>
      <c r="M212" s="14"/>
      <c r="N212" s="15"/>
      <c r="O212" s="15"/>
      <c r="P212" s="15"/>
      <c r="Q212" s="16"/>
    </row>
    <row r="213" spans="1:17" ht="16" customHeight="1">
      <c r="A213" s="133"/>
      <c r="B213" s="14"/>
      <c r="C213" s="364" t="s">
        <v>208</v>
      </c>
      <c r="D213" s="322"/>
      <c r="E213" s="267"/>
      <c r="F213" s="267"/>
      <c r="G213" s="323"/>
      <c r="H213" s="330"/>
      <c r="I213" s="235"/>
      <c r="J213" s="235"/>
      <c r="K213" s="235"/>
      <c r="L213" s="235"/>
      <c r="M213" s="14"/>
      <c r="N213" s="15"/>
      <c r="O213" s="15"/>
      <c r="P213" s="15"/>
      <c r="Q213" s="16"/>
    </row>
    <row r="214" spans="1:17" ht="16" customHeight="1">
      <c r="A214" s="133"/>
      <c r="B214" s="14"/>
      <c r="C214" s="233" t="s">
        <v>226</v>
      </c>
      <c r="D214" s="326">
        <v>2500</v>
      </c>
      <c r="E214" s="272"/>
      <c r="F214" s="267"/>
      <c r="G214" s="323"/>
      <c r="H214" s="330"/>
      <c r="I214" s="235"/>
      <c r="J214" s="235"/>
      <c r="K214" s="235"/>
      <c r="L214" s="235"/>
      <c r="M214" s="14"/>
      <c r="N214" s="15"/>
      <c r="O214" s="15"/>
      <c r="P214" s="15"/>
      <c r="Q214" s="16"/>
    </row>
    <row r="215" spans="1:17" ht="19" customHeight="1">
      <c r="A215" s="133"/>
      <c r="B215" s="391"/>
      <c r="C215" s="233" t="s">
        <v>207</v>
      </c>
      <c r="D215" s="503">
        <v>0.01</v>
      </c>
      <c r="E215" s="272"/>
      <c r="F215" s="267"/>
      <c r="G215" s="323"/>
      <c r="H215" s="330">
        <f>$D$215*Revenue!H123</f>
        <v>10429.834171428571</v>
      </c>
      <c r="I215" s="330">
        <f>$D$215*Revenue!I123</f>
        <v>21534.202971428571</v>
      </c>
      <c r="J215" s="330">
        <f>$D$215*Revenue!J123</f>
        <v>38258.918971428575</v>
      </c>
      <c r="K215" s="330">
        <f>$D$215*Revenue!K123</f>
        <v>64537.470171428569</v>
      </c>
      <c r="L215" s="330">
        <f>$D$215*Revenue!L123</f>
        <v>107400.14697142856</v>
      </c>
      <c r="M215" s="492"/>
      <c r="N215" s="15"/>
      <c r="O215" s="15"/>
      <c r="P215" s="15"/>
      <c r="Q215" s="16"/>
    </row>
    <row r="216" spans="1:17" ht="19" customHeight="1">
      <c r="A216" s="133"/>
      <c r="B216" s="391"/>
      <c r="C216" s="35"/>
      <c r="D216" s="267"/>
      <c r="E216" s="267"/>
      <c r="F216" s="267"/>
      <c r="G216" s="323"/>
      <c r="H216" s="330"/>
      <c r="I216" s="235"/>
      <c r="J216" s="235"/>
      <c r="K216" s="235"/>
      <c r="L216" s="235"/>
      <c r="M216" s="14"/>
      <c r="N216" s="15"/>
      <c r="O216" s="15"/>
      <c r="P216" s="15"/>
      <c r="Q216" s="16"/>
    </row>
    <row r="217" spans="1:17" ht="19" customHeight="1">
      <c r="A217" s="133"/>
      <c r="B217" s="391"/>
      <c r="C217" s="364" t="s">
        <v>152</v>
      </c>
      <c r="D217" s="322"/>
      <c r="E217" s="267"/>
      <c r="F217" s="267"/>
      <c r="G217" s="323"/>
      <c r="H217" s="330"/>
      <c r="I217" s="235"/>
      <c r="J217" s="235"/>
      <c r="K217" s="235"/>
      <c r="L217" s="235"/>
      <c r="M217" s="14"/>
      <c r="N217" s="15"/>
      <c r="O217" s="15"/>
      <c r="P217" s="15"/>
      <c r="Q217" s="16"/>
    </row>
    <row r="218" spans="1:17" ht="19" customHeight="1">
      <c r="A218" s="133"/>
      <c r="B218" s="391"/>
      <c r="C218" s="233" t="s">
        <v>153</v>
      </c>
      <c r="D218" s="326">
        <v>6000</v>
      </c>
      <c r="E218" s="272"/>
      <c r="F218" s="267"/>
      <c r="G218" s="323"/>
      <c r="H218" s="330">
        <f>$D218*SUM(H13,H20,H26)</f>
        <v>18000</v>
      </c>
      <c r="I218" s="330">
        <f>$D218*SUM(I13,I20,I26)</f>
        <v>18000</v>
      </c>
      <c r="J218" s="330">
        <f>$D218*SUM(J13,J20,J26)</f>
        <v>18000</v>
      </c>
      <c r="K218" s="330">
        <f>$D218*SUM(K13,K20,K26)</f>
        <v>18000</v>
      </c>
      <c r="L218" s="330">
        <f>$D218*SUM(L13,L20,L26)</f>
        <v>18000</v>
      </c>
      <c r="M218" s="493"/>
      <c r="N218" s="15"/>
      <c r="O218" s="15"/>
      <c r="P218" s="15"/>
      <c r="Q218" s="16"/>
    </row>
    <row r="219" spans="1:17" ht="19" customHeight="1">
      <c r="A219" s="133"/>
      <c r="B219" s="391"/>
      <c r="C219" s="233" t="s">
        <v>154</v>
      </c>
      <c r="D219" s="445">
        <v>0</v>
      </c>
      <c r="E219" s="272"/>
      <c r="F219" s="267"/>
      <c r="G219" s="323"/>
      <c r="H219" s="330">
        <f>$D219*H121</f>
        <v>0</v>
      </c>
      <c r="I219" s="330">
        <f>$D219*I121</f>
        <v>0</v>
      </c>
      <c r="J219" s="330">
        <f>$D219*J121</f>
        <v>0</v>
      </c>
      <c r="K219" s="330">
        <f>$D219*K121</f>
        <v>0</v>
      </c>
      <c r="L219" s="330">
        <f>$D219*L121</f>
        <v>0</v>
      </c>
      <c r="M219" s="493"/>
      <c r="N219" s="15"/>
      <c r="O219" s="15"/>
      <c r="P219" s="15"/>
      <c r="Q219" s="16"/>
    </row>
    <row r="220" spans="1:17" ht="19" customHeight="1">
      <c r="A220" s="133"/>
      <c r="B220" s="391"/>
      <c r="C220" s="334" t="s">
        <v>155</v>
      </c>
      <c r="D220" s="267"/>
      <c r="E220" s="267"/>
      <c r="F220" s="267"/>
      <c r="G220" s="323"/>
      <c r="H220" s="330">
        <f>SUM(H218:H219)</f>
        <v>18000</v>
      </c>
      <c r="I220" s="235">
        <f>SUM(I218:I219)</f>
        <v>18000</v>
      </c>
      <c r="J220" s="235">
        <f>SUM(J218:J219)</f>
        <v>18000</v>
      </c>
      <c r="K220" s="235">
        <f>SUM(K218:K219)</f>
        <v>18000</v>
      </c>
      <c r="L220" s="235">
        <f>SUM(L218:L219)</f>
        <v>18000</v>
      </c>
      <c r="M220" s="14"/>
      <c r="N220" s="15"/>
      <c r="O220" s="15"/>
      <c r="P220" s="15"/>
      <c r="Q220" s="16"/>
    </row>
    <row r="221" spans="1:17" ht="19" customHeight="1">
      <c r="A221" s="133"/>
      <c r="B221" s="391"/>
      <c r="C221" s="446"/>
      <c r="D221" s="267"/>
      <c r="E221" s="267"/>
      <c r="F221" s="267"/>
      <c r="G221" s="323"/>
      <c r="H221" s="330"/>
      <c r="I221" s="235"/>
      <c r="J221" s="235"/>
      <c r="K221" s="235"/>
      <c r="L221" s="235"/>
      <c r="M221" s="14"/>
      <c r="N221" s="15"/>
      <c r="O221" s="15"/>
      <c r="P221" s="15"/>
      <c r="Q221" s="16"/>
    </row>
    <row r="222" spans="1:17" ht="19" customHeight="1">
      <c r="A222" s="133"/>
      <c r="B222" s="391"/>
      <c r="C222" s="364" t="s">
        <v>156</v>
      </c>
      <c r="D222" s="322"/>
      <c r="E222" s="267"/>
      <c r="F222" s="267"/>
      <c r="G222" s="323"/>
      <c r="H222" s="330"/>
      <c r="I222" s="235"/>
      <c r="J222" s="235"/>
      <c r="K222" s="235"/>
      <c r="L222" s="235"/>
      <c r="M222" s="14"/>
      <c r="N222" s="15"/>
      <c r="O222" s="15"/>
      <c r="P222" s="15"/>
      <c r="Q222" s="16"/>
    </row>
    <row r="223" spans="1:17" ht="19" customHeight="1">
      <c r="A223" s="133"/>
      <c r="B223" s="391"/>
      <c r="C223" s="233" t="s">
        <v>132</v>
      </c>
      <c r="D223" s="229">
        <v>0.01</v>
      </c>
      <c r="E223" s="272"/>
      <c r="F223" s="267"/>
      <c r="G223" s="323"/>
      <c r="H223" s="330">
        <f>Revenue!H123*$D223</f>
        <v>10429.834171428571</v>
      </c>
      <c r="I223" s="235">
        <f>Revenue!I123*$D223</f>
        <v>21534.202971428571</v>
      </c>
      <c r="J223" s="235">
        <f>Revenue!J123*$D223</f>
        <v>38258.918971428575</v>
      </c>
      <c r="K223" s="235">
        <f>Revenue!K123*$D223</f>
        <v>64537.470171428569</v>
      </c>
      <c r="L223" s="235">
        <f>Revenue!L123*$D223</f>
        <v>107400.14697142856</v>
      </c>
      <c r="M223" s="14"/>
      <c r="N223" s="15"/>
      <c r="O223" s="15"/>
      <c r="P223" s="15"/>
      <c r="Q223" s="16"/>
    </row>
    <row r="224" spans="1:17" ht="19" customHeight="1">
      <c r="A224" s="133"/>
      <c r="B224" s="395"/>
      <c r="C224" s="255"/>
      <c r="D224" s="339"/>
      <c r="E224" s="339"/>
      <c r="F224" s="339"/>
      <c r="G224" s="340"/>
      <c r="H224" s="401"/>
      <c r="I224" s="402"/>
      <c r="J224" s="402"/>
      <c r="K224" s="402"/>
      <c r="L224" s="402"/>
      <c r="M224" s="14"/>
      <c r="N224" s="15"/>
      <c r="O224" s="15"/>
      <c r="P224" s="15"/>
      <c r="Q224" s="16"/>
    </row>
    <row r="225" spans="1:17" ht="16" customHeight="1">
      <c r="A225" s="133"/>
      <c r="B225" s="348" t="str">
        <f>"Total "&amp;B209&amp;" Expenses"</f>
        <v>Total General and administrative Expenses</v>
      </c>
      <c r="C225" s="344"/>
      <c r="D225" s="344"/>
      <c r="E225" s="344"/>
      <c r="F225" s="344"/>
      <c r="G225" s="345"/>
      <c r="H225" s="349">
        <f>SUM(H223,H220,H211,H215)</f>
        <v>73659.668342857141</v>
      </c>
      <c r="I225" s="350">
        <f>SUM(I223,I220,I211,I215)</f>
        <v>104268.40594285715</v>
      </c>
      <c r="J225" s="350">
        <f>SUM(J223,J220,J211,J215)</f>
        <v>148517.83794285715</v>
      </c>
      <c r="K225" s="350">
        <f>SUM(K223,K220,K211,K215)</f>
        <v>214274.94034285715</v>
      </c>
      <c r="L225" s="350">
        <f>SUM(L223,L220,L211,L215)</f>
        <v>343200.29394285713</v>
      </c>
      <c r="M225" s="14"/>
      <c r="N225" s="15"/>
      <c r="O225" s="15"/>
      <c r="P225" s="15"/>
      <c r="Q225" s="16"/>
    </row>
    <row r="226" spans="1:17" ht="16" customHeight="1">
      <c r="A226" s="133"/>
      <c r="B226" s="95" t="s">
        <v>32</v>
      </c>
      <c r="C226" s="135"/>
      <c r="D226" s="135"/>
      <c r="E226" s="135"/>
      <c r="F226" s="135"/>
      <c r="G226" s="136"/>
      <c r="H226" s="353">
        <f>H225/Revenue!H$123</f>
        <v>7.0624007181859155E-2</v>
      </c>
      <c r="I226" s="353">
        <f>I225/Revenue!I$123</f>
        <v>4.8419904874677615E-2</v>
      </c>
      <c r="J226" s="353">
        <f>J225/Revenue!J$123</f>
        <v>3.8819141244886973E-2</v>
      </c>
      <c r="K226" s="353">
        <f>K225/Revenue!K$123</f>
        <v>3.3201633062728726E-2</v>
      </c>
      <c r="L226" s="353">
        <f>L225/Revenue!L$123</f>
        <v>3.1955290902363286E-2</v>
      </c>
      <c r="M226" s="244"/>
      <c r="N226" s="15"/>
      <c r="O226" s="15"/>
      <c r="P226" s="15"/>
      <c r="Q226" s="16"/>
    </row>
    <row r="227" spans="1:17" ht="20" customHeight="1">
      <c r="A227" s="133"/>
      <c r="B227" s="421"/>
      <c r="C227" s="252"/>
      <c r="D227" s="322"/>
      <c r="E227" s="322"/>
      <c r="F227" s="322"/>
      <c r="G227" s="422"/>
      <c r="H227" s="449"/>
      <c r="I227" s="226"/>
      <c r="J227" s="226"/>
      <c r="K227" s="226"/>
      <c r="L227" s="226"/>
      <c r="M227" s="14"/>
      <c r="N227" s="15"/>
      <c r="O227" s="15"/>
      <c r="P227" s="15"/>
      <c r="Q227" s="16"/>
    </row>
    <row r="228" spans="1:17" ht="17" customHeight="1">
      <c r="A228" s="133"/>
      <c r="B228" s="90" t="s">
        <v>157</v>
      </c>
      <c r="C228" s="424"/>
      <c r="D228" s="424"/>
      <c r="E228" s="424"/>
      <c r="F228" s="424"/>
      <c r="G228" s="425"/>
      <c r="H228" s="450">
        <f>SUM(H225,H206,H194,H182,H171,H154)</f>
        <v>531216.21690171433</v>
      </c>
      <c r="I228" s="451">
        <f>SUM(I225,I206,I194,I182,I171,I154)</f>
        <v>843011.47546971426</v>
      </c>
      <c r="J228" s="451">
        <f>SUM(J225,J206,J194,J182,J171,J154)</f>
        <v>1333069.7240297145</v>
      </c>
      <c r="K228" s="451">
        <f>SUM(K225,K206,K194,K182,K171,K154)</f>
        <v>2131822.4112217142</v>
      </c>
      <c r="L228" s="452">
        <f>SUM(L225,L206,L194,L182,L171,L154)</f>
        <v>3635541.7633897141</v>
      </c>
      <c r="M228" s="14"/>
      <c r="N228" s="15"/>
      <c r="O228" s="15"/>
      <c r="P228" s="15"/>
      <c r="Q228" s="16"/>
    </row>
    <row r="229" spans="1:17" ht="16" customHeight="1">
      <c r="A229" s="133"/>
      <c r="B229" s="95" t="s">
        <v>32</v>
      </c>
      <c r="C229" s="135"/>
      <c r="D229" s="135"/>
      <c r="E229" s="135"/>
      <c r="F229" s="135"/>
      <c r="G229" s="351"/>
      <c r="H229" s="352">
        <f>H228/Revenue!H$123</f>
        <v>0.50932374203697794</v>
      </c>
      <c r="I229" s="353">
        <f>I228/Revenue!I$123</f>
        <v>0.39147558727305393</v>
      </c>
      <c r="J229" s="353">
        <f>J228/Revenue!J$123</f>
        <v>0.34843371424719011</v>
      </c>
      <c r="K229" s="353">
        <f>K228/Revenue!K$123</f>
        <v>0.3303232068996555</v>
      </c>
      <c r="L229" s="353">
        <f>L228/Revenue!L$123</f>
        <v>0.33850435645650184</v>
      </c>
      <c r="M229" s="244"/>
      <c r="N229" s="15"/>
      <c r="O229" s="15"/>
      <c r="P229" s="15"/>
      <c r="Q229" s="16"/>
    </row>
    <row r="230" spans="1:17" ht="20" customHeight="1">
      <c r="A230" s="133"/>
      <c r="B230" s="421"/>
      <c r="C230" s="252"/>
      <c r="D230" s="322"/>
      <c r="E230" s="322"/>
      <c r="F230" s="322"/>
      <c r="G230" s="422"/>
      <c r="H230" s="449"/>
      <c r="I230" s="226"/>
      <c r="J230" s="226"/>
      <c r="K230" s="226"/>
      <c r="L230" s="226"/>
      <c r="M230" s="14"/>
      <c r="N230" s="15"/>
      <c r="O230" s="15"/>
      <c r="P230" s="15"/>
      <c r="Q230" s="16"/>
    </row>
    <row r="231" spans="1:17" ht="17" customHeight="1">
      <c r="A231" s="133"/>
      <c r="B231" s="90" t="s">
        <v>158</v>
      </c>
      <c r="C231" s="424"/>
      <c r="D231" s="424"/>
      <c r="E231" s="424"/>
      <c r="F231" s="424"/>
      <c r="G231" s="425"/>
      <c r="H231" s="450">
        <f>H129+H228</f>
        <v>1886060.7169017144</v>
      </c>
      <c r="I231" s="451">
        <f>I129+I228</f>
        <v>2579273.0354697146</v>
      </c>
      <c r="J231" s="451">
        <f>J129+J228</f>
        <v>3595186.1010297146</v>
      </c>
      <c r="K231" s="451">
        <f>K129+K228</f>
        <v>5075346.4858937152</v>
      </c>
      <c r="L231" s="452">
        <f>L129+L228</f>
        <v>8679182.0887219552</v>
      </c>
      <c r="M231" s="14"/>
      <c r="N231" s="15"/>
      <c r="O231" s="15"/>
      <c r="P231" s="15"/>
      <c r="Q231" s="16"/>
    </row>
    <row r="232" spans="1:17" ht="16" customHeight="1">
      <c r="A232" s="133"/>
      <c r="B232" s="95" t="s">
        <v>32</v>
      </c>
      <c r="C232" s="135"/>
      <c r="D232" s="135"/>
      <c r="E232" s="135"/>
      <c r="F232" s="135"/>
      <c r="G232" s="351"/>
      <c r="H232" s="352">
        <f>H231/Revenue!H$123</f>
        <v>1.8083324105654321</v>
      </c>
      <c r="I232" s="353">
        <f>I231/Revenue!I$123</f>
        <v>1.1977564430370957</v>
      </c>
      <c r="J232" s="353">
        <f>J231/Revenue!J$123</f>
        <v>0.93969881995739823</v>
      </c>
      <c r="K232" s="353">
        <f>K231/Revenue!K$123</f>
        <v>0.78641856775796359</v>
      </c>
      <c r="L232" s="353">
        <f>L231/Revenue!L$123</f>
        <v>0.80811640705024923</v>
      </c>
      <c r="M232" s="244"/>
      <c r="N232" s="15"/>
      <c r="O232" s="15"/>
      <c r="P232" s="15"/>
      <c r="Q232" s="16"/>
    </row>
    <row r="233" spans="1:17" ht="19" customHeight="1">
      <c r="A233" s="133"/>
      <c r="B233" s="391"/>
      <c r="C233" s="35"/>
      <c r="D233" s="267"/>
      <c r="E233" s="267"/>
      <c r="F233" s="267"/>
      <c r="G233" s="323"/>
      <c r="H233" s="324"/>
      <c r="I233" s="224"/>
      <c r="J233" s="224"/>
      <c r="K233" s="224"/>
      <c r="L233" s="224"/>
      <c r="M233" s="14"/>
      <c r="N233" s="15"/>
      <c r="O233" s="15"/>
      <c r="P233" s="15"/>
      <c r="Q233" s="16"/>
    </row>
    <row r="234" spans="1:17" ht="19" customHeight="1">
      <c r="A234" s="133"/>
      <c r="B234" s="124" t="s">
        <v>159</v>
      </c>
      <c r="C234" s="15"/>
      <c r="D234" s="322"/>
      <c r="E234" s="267"/>
      <c r="F234" s="267"/>
      <c r="G234" s="323"/>
      <c r="H234" s="330">
        <f>SUM(H236:H237)</f>
        <v>4000</v>
      </c>
      <c r="I234" s="330">
        <f>SUM(I236:I237)</f>
        <v>4000</v>
      </c>
      <c r="J234" s="330">
        <f>SUM(J236:J237)</f>
        <v>4000</v>
      </c>
      <c r="K234" s="330">
        <f>SUM(K236:K237)</f>
        <v>4000</v>
      </c>
      <c r="L234" s="330">
        <f>SUM(L236:L237)</f>
        <v>4000</v>
      </c>
      <c r="M234" s="14"/>
      <c r="N234" s="15"/>
      <c r="O234" s="15"/>
      <c r="P234" s="15"/>
      <c r="Q234" s="16"/>
    </row>
    <row r="235" spans="1:17" ht="19" customHeight="1">
      <c r="A235" s="133"/>
      <c r="B235" s="391"/>
      <c r="C235" s="233" t="s">
        <v>160</v>
      </c>
      <c r="D235" s="254">
        <v>5</v>
      </c>
      <c r="E235" s="272"/>
      <c r="F235" s="267"/>
      <c r="G235" s="323"/>
      <c r="H235" s="324"/>
      <c r="I235" s="224"/>
      <c r="J235" s="224"/>
      <c r="K235" s="224"/>
      <c r="L235" s="224"/>
      <c r="M235" s="14"/>
      <c r="N235" s="15"/>
      <c r="O235" s="15"/>
      <c r="P235" s="15"/>
      <c r="Q235" s="16"/>
    </row>
    <row r="236" spans="1:17" ht="19" customHeight="1">
      <c r="A236" s="133"/>
      <c r="B236" s="391"/>
      <c r="C236" s="35"/>
      <c r="D236" s="267"/>
      <c r="E236" s="267"/>
      <c r="F236" s="267"/>
      <c r="G236" s="420" t="s">
        <v>212</v>
      </c>
      <c r="H236" s="330">
        <f>1/$D235*'BS CF'!D20</f>
        <v>2000</v>
      </c>
      <c r="I236" s="235">
        <f>H236</f>
        <v>2000</v>
      </c>
      <c r="J236" s="235">
        <f t="shared" ref="J236:L236" si="11">I236</f>
        <v>2000</v>
      </c>
      <c r="K236" s="235">
        <f t="shared" si="11"/>
        <v>2000</v>
      </c>
      <c r="L236" s="235">
        <f t="shared" si="11"/>
        <v>2000</v>
      </c>
      <c r="M236" s="492"/>
      <c r="N236" s="15"/>
      <c r="O236" s="15"/>
      <c r="P236" s="15"/>
      <c r="Q236" s="16"/>
    </row>
    <row r="237" spans="1:17" ht="19" customHeight="1">
      <c r="A237" s="133"/>
      <c r="B237" s="391"/>
      <c r="C237" s="35"/>
      <c r="D237" s="267"/>
      <c r="E237" s="267"/>
      <c r="F237" s="267"/>
      <c r="G237" s="420" t="s">
        <v>211</v>
      </c>
      <c r="H237" s="330">
        <f>1/$D235*'BS CF'!D23</f>
        <v>2000</v>
      </c>
      <c r="I237" s="235">
        <f>H237</f>
        <v>2000</v>
      </c>
      <c r="J237" s="235">
        <f t="shared" ref="J237:L237" si="12">I237</f>
        <v>2000</v>
      </c>
      <c r="K237" s="235">
        <f t="shared" si="12"/>
        <v>2000</v>
      </c>
      <c r="L237" s="235">
        <f t="shared" si="12"/>
        <v>2000</v>
      </c>
      <c r="M237" s="493"/>
      <c r="N237" s="15"/>
      <c r="O237" s="15"/>
      <c r="P237" s="15"/>
      <c r="Q237" s="16"/>
    </row>
    <row r="238" spans="1:17" ht="19" customHeight="1">
      <c r="A238" s="133"/>
      <c r="B238" s="391"/>
      <c r="C238" s="35"/>
      <c r="D238" s="267"/>
      <c r="E238" s="267"/>
      <c r="F238" s="267"/>
      <c r="G238" s="420"/>
      <c r="H238" s="330"/>
      <c r="I238" s="469"/>
      <c r="J238" s="469"/>
      <c r="K238" s="469"/>
      <c r="L238" s="469"/>
      <c r="M238" s="493"/>
      <c r="N238" s="15"/>
      <c r="O238" s="15"/>
      <c r="P238" s="15"/>
      <c r="Q238" s="16"/>
    </row>
    <row r="239" spans="1:17" ht="19" customHeight="1">
      <c r="A239" s="133"/>
      <c r="B239" s="124" t="s">
        <v>36</v>
      </c>
      <c r="C239" s="15"/>
      <c r="D239" s="322"/>
      <c r="E239" s="267"/>
      <c r="F239" s="267"/>
      <c r="G239" s="323"/>
      <c r="H239" s="330">
        <f>SUM(H240:H241)</f>
        <v>0</v>
      </c>
      <c r="I239" s="330">
        <f t="shared" ref="I239:L239" si="13">SUM(I240:I241)</f>
        <v>0</v>
      </c>
      <c r="J239" s="330">
        <f t="shared" si="13"/>
        <v>0</v>
      </c>
      <c r="K239" s="330">
        <f t="shared" si="13"/>
        <v>0</v>
      </c>
      <c r="L239" s="330">
        <f t="shared" si="13"/>
        <v>0</v>
      </c>
      <c r="M239" s="493"/>
      <c r="N239" s="15"/>
      <c r="O239" s="15"/>
      <c r="P239" s="15"/>
      <c r="Q239" s="16"/>
    </row>
    <row r="240" spans="1:17" ht="19" customHeight="1">
      <c r="A240" s="133"/>
      <c r="B240" s="391" t="str">
        <f>'BS CF'!B39</f>
        <v>Loan 1</v>
      </c>
      <c r="C240" s="233" t="s">
        <v>161</v>
      </c>
      <c r="D240" s="229">
        <v>0</v>
      </c>
      <c r="E240" s="272"/>
      <c r="F240" s="267"/>
      <c r="G240" s="420" t="str">
        <f>B240&amp;" Interest"</f>
        <v>Loan 1 Interest</v>
      </c>
      <c r="H240" s="330">
        <f>$D240*'BS CF'!H43</f>
        <v>0</v>
      </c>
      <c r="I240" s="330">
        <f>$D240*'BS CF'!I43</f>
        <v>0</v>
      </c>
      <c r="J240" s="330">
        <f>$D240*'BS CF'!J43</f>
        <v>0</v>
      </c>
      <c r="K240" s="330">
        <f>$D240*'BS CF'!K43</f>
        <v>0</v>
      </c>
      <c r="L240" s="330">
        <f>$D240*'BS CF'!L43</f>
        <v>0</v>
      </c>
      <c r="M240" s="14"/>
      <c r="N240" s="15"/>
      <c r="O240" s="15"/>
      <c r="P240" s="15"/>
      <c r="Q240" s="16"/>
    </row>
    <row r="241" spans="1:17" ht="19" customHeight="1">
      <c r="A241" s="133"/>
      <c r="B241" s="391"/>
      <c r="C241" s="446"/>
      <c r="D241" s="267"/>
      <c r="E241" s="267"/>
      <c r="F241" s="267"/>
      <c r="G241" s="420" t="s">
        <v>162</v>
      </c>
      <c r="H241" s="330">
        <f>SUM(H240:H240)</f>
        <v>0</v>
      </c>
      <c r="I241" s="330">
        <f>SUM(I240:I240)</f>
        <v>0</v>
      </c>
      <c r="J241" s="330">
        <f>SUM(J240:J240)</f>
        <v>0</v>
      </c>
      <c r="K241" s="330">
        <f>SUM(K240:K240)</f>
        <v>0</v>
      </c>
      <c r="L241" s="330">
        <f>SUM(L240:L240)</f>
        <v>0</v>
      </c>
      <c r="M241" s="14"/>
      <c r="N241" s="15"/>
      <c r="O241" s="15"/>
      <c r="P241" s="15"/>
      <c r="Q241" s="16"/>
    </row>
    <row r="242" spans="1:17" ht="19" customHeight="1">
      <c r="A242" s="133"/>
      <c r="B242" s="391"/>
      <c r="C242" s="35"/>
      <c r="D242" s="267"/>
      <c r="E242" s="267"/>
      <c r="F242" s="267"/>
      <c r="G242" s="323"/>
      <c r="H242" s="324"/>
      <c r="I242" s="224"/>
      <c r="J242" s="224"/>
      <c r="K242" s="224"/>
      <c r="L242" s="224"/>
      <c r="M242" s="14"/>
      <c r="N242" s="15"/>
      <c r="O242" s="15"/>
      <c r="P242" s="15"/>
      <c r="Q242" s="16"/>
    </row>
    <row r="243" spans="1:17" ht="17" customHeight="1">
      <c r="A243" s="133"/>
      <c r="B243" s="90" t="s">
        <v>215</v>
      </c>
      <c r="C243" s="424"/>
      <c r="D243" s="424"/>
      <c r="E243" s="424"/>
      <c r="F243" s="424"/>
      <c r="G243" s="425"/>
      <c r="H243" s="450">
        <f>Revenue!H123-Costs!H231-SUM(H236:H237,H241)</f>
        <v>-847077.29975885735</v>
      </c>
      <c r="I243" s="450">
        <f>Revenue!I123-Costs!I231-SUM(I236:I237,I241)</f>
        <v>-429852.73832685733</v>
      </c>
      <c r="J243" s="450">
        <f>Revenue!J123-Costs!J231-SUM(J236:J237,J241)</f>
        <v>226705.79611314274</v>
      </c>
      <c r="K243" s="450">
        <f>Revenue!K123-Costs!K231-SUM(K236:K237,K241)</f>
        <v>1374400.5312491413</v>
      </c>
      <c r="L243" s="450">
        <f>Revenue!L123-Costs!L231-SUM(L236:L237,L241)</f>
        <v>2056832.608420901</v>
      </c>
      <c r="M243" s="14"/>
      <c r="N243" s="15"/>
      <c r="O243" s="15"/>
      <c r="P243" s="15"/>
      <c r="Q243" s="16"/>
    </row>
    <row r="244" spans="1:17" ht="16" customHeight="1">
      <c r="A244" s="133"/>
      <c r="B244" s="95" t="s">
        <v>32</v>
      </c>
      <c r="C244" s="135"/>
      <c r="D244" s="135"/>
      <c r="E244" s="135"/>
      <c r="F244" s="135"/>
      <c r="G244" s="351"/>
      <c r="H244" s="352">
        <f>H243/Revenue!H$123</f>
        <v>-0.81216756262466394</v>
      </c>
      <c r="I244" s="353">
        <f>I243/Revenue!I$123</f>
        <v>-0.19961395315962374</v>
      </c>
      <c r="J244" s="353">
        <f>J243/Revenue!J$123</f>
        <v>5.925567219566362E-2</v>
      </c>
      <c r="K244" s="353">
        <f>K243/Revenue!K$123</f>
        <v>0.21296163726256553</v>
      </c>
      <c r="L244" s="353">
        <f>L243/Revenue!L$123</f>
        <v>0.19151115398082982</v>
      </c>
      <c r="M244" s="244"/>
      <c r="N244" s="15"/>
      <c r="O244" s="15"/>
      <c r="P244" s="15"/>
      <c r="Q244" s="16"/>
    </row>
    <row r="245" spans="1:17" ht="19" customHeight="1">
      <c r="A245" s="133"/>
      <c r="B245" s="391"/>
      <c r="C245" s="35"/>
      <c r="D245" s="267"/>
      <c r="E245" s="267"/>
      <c r="F245" s="267"/>
      <c r="G245" s="448"/>
      <c r="H245" s="330"/>
      <c r="I245" s="235"/>
      <c r="J245" s="235"/>
      <c r="K245" s="235"/>
      <c r="L245" s="235"/>
      <c r="M245" s="14"/>
      <c r="N245" s="15"/>
      <c r="O245" s="15"/>
      <c r="P245" s="15"/>
      <c r="Q245" s="16"/>
    </row>
    <row r="246" spans="1:17" ht="19" customHeight="1">
      <c r="A246" s="133"/>
      <c r="B246" s="124" t="s">
        <v>163</v>
      </c>
      <c r="C246" s="35"/>
      <c r="D246" s="322"/>
      <c r="E246" s="267"/>
      <c r="F246" s="267"/>
      <c r="G246" s="323"/>
      <c r="H246" s="330"/>
      <c r="I246" s="235"/>
      <c r="J246" s="235"/>
      <c r="K246" s="235"/>
      <c r="L246" s="235"/>
      <c r="M246" s="14"/>
      <c r="N246" s="15"/>
      <c r="O246" s="15"/>
      <c r="P246" s="15"/>
      <c r="Q246" s="16"/>
    </row>
    <row r="247" spans="1:17" ht="19" customHeight="1">
      <c r="A247" s="133"/>
      <c r="B247" s="391"/>
      <c r="C247" s="233" t="s">
        <v>164</v>
      </c>
      <c r="D247" s="229">
        <v>0.2</v>
      </c>
      <c r="E247" s="272"/>
      <c r="F247" s="15"/>
      <c r="G247" s="420" t="s">
        <v>165</v>
      </c>
      <c r="H247" s="330">
        <f>H243*$D247</f>
        <v>-169415.45995177148</v>
      </c>
      <c r="I247" s="330">
        <f t="shared" ref="I247:L247" si="14">I243*$D247</f>
        <v>-85970.547665371472</v>
      </c>
      <c r="J247" s="330">
        <f t="shared" si="14"/>
        <v>45341.15922262855</v>
      </c>
      <c r="K247" s="330">
        <f t="shared" si="14"/>
        <v>274880.1062498283</v>
      </c>
      <c r="L247" s="330">
        <f t="shared" si="14"/>
        <v>411366.52168418025</v>
      </c>
      <c r="M247" s="493" t="s">
        <v>209</v>
      </c>
      <c r="N247" s="15"/>
      <c r="O247" s="15"/>
      <c r="P247" s="15"/>
      <c r="Q247" s="16"/>
    </row>
    <row r="248" spans="1:17" ht="19" customHeight="1">
      <c r="A248" s="133"/>
      <c r="B248" s="391"/>
      <c r="C248" s="446" t="s">
        <v>235</v>
      </c>
      <c r="D248" s="326">
        <v>0</v>
      </c>
      <c r="E248" s="267"/>
      <c r="F248" s="15"/>
      <c r="G248" s="420" t="s">
        <v>61</v>
      </c>
      <c r="H248" s="235">
        <f>IF(H247&gt;0,IF(D248&gt;H247,D248-H247,0),D248-H247)</f>
        <v>169415.45995177148</v>
      </c>
      <c r="I248" s="235">
        <f>IF(I247&gt;0,IF(H248&gt;I247,H248-I247,0),H248-I247)</f>
        <v>255386.00761714295</v>
      </c>
      <c r="J248" s="235">
        <f>IF(J247&gt;0,IF(I248&gt;J247,I248-J247,0),0)</f>
        <v>210044.84839451441</v>
      </c>
      <c r="K248" s="235">
        <f>IF(K247&gt;0,IF(J248&gt;K247,J248-K247,0),0)</f>
        <v>0</v>
      </c>
      <c r="L248" s="235">
        <f>IF(L247&gt;0,IF(K248&gt;L247,K248-L247,0),0)</f>
        <v>0</v>
      </c>
      <c r="M248" s="493"/>
      <c r="N248" s="15"/>
      <c r="O248" s="15"/>
      <c r="P248" s="15"/>
      <c r="Q248" s="16"/>
    </row>
    <row r="249" spans="1:17" ht="19" customHeight="1">
      <c r="A249" s="133"/>
      <c r="B249" s="395"/>
      <c r="C249" s="255"/>
      <c r="D249" s="339"/>
      <c r="E249" s="339"/>
      <c r="F249" s="339"/>
      <c r="G249" s="340"/>
      <c r="H249" s="401"/>
      <c r="I249" s="402"/>
      <c r="J249" s="402"/>
      <c r="K249" s="402"/>
      <c r="L249" s="402"/>
      <c r="M249" s="14"/>
      <c r="N249" s="15"/>
      <c r="O249" s="15"/>
      <c r="P249" s="15"/>
      <c r="Q249" s="16"/>
    </row>
    <row r="250" spans="1:17" ht="16" customHeight="1">
      <c r="A250" s="133"/>
      <c r="B250" s="348" t="str">
        <f>"Total "&amp;B246&amp;" Expenses"</f>
        <v>Total Income Tax Expenses</v>
      </c>
      <c r="C250" s="344"/>
      <c r="D250" s="344"/>
      <c r="E250" s="344"/>
      <c r="F250" s="344"/>
      <c r="G250" s="453"/>
      <c r="H250" s="454">
        <f>IF(H248=0,H247,0)</f>
        <v>0</v>
      </c>
      <c r="I250" s="350">
        <f>IF(I248=0,I247-H248,0)</f>
        <v>0</v>
      </c>
      <c r="J250" s="350">
        <f>IF(J248=0,J247-I248,0)</f>
        <v>0</v>
      </c>
      <c r="K250" s="350">
        <f>IF(K248=0,K247-J248,0)</f>
        <v>64835.257855313888</v>
      </c>
      <c r="L250" s="350">
        <f>IF(L248=0,L247-K248,0)</f>
        <v>411366.52168418025</v>
      </c>
      <c r="M250" s="14"/>
      <c r="N250" s="15"/>
      <c r="O250" s="15"/>
      <c r="P250" s="15"/>
      <c r="Q250" s="16"/>
    </row>
    <row r="251" spans="1:17" ht="16" customHeight="1">
      <c r="A251" s="133"/>
      <c r="B251" s="138" t="s">
        <v>32</v>
      </c>
      <c r="C251" s="427"/>
      <c r="D251" s="427"/>
      <c r="E251" s="427"/>
      <c r="F251" s="455"/>
      <c r="G251" s="456"/>
      <c r="H251" s="429">
        <f>H250/Revenue!H123</f>
        <v>0</v>
      </c>
      <c r="I251" s="429">
        <f>I250/Revenue!I123</f>
        <v>0</v>
      </c>
      <c r="J251" s="429">
        <f>J250/Revenue!J123</f>
        <v>0</v>
      </c>
      <c r="K251" s="429">
        <f>K250/Revenue!K123</f>
        <v>1.0046141827855093E-2</v>
      </c>
      <c r="L251" s="429">
        <f>L250/Revenue!L123</f>
        <v>3.8302230796165973E-2</v>
      </c>
      <c r="M251" s="244"/>
      <c r="N251" s="15"/>
      <c r="O251" s="15"/>
      <c r="P251" s="15"/>
      <c r="Q251" s="16"/>
    </row>
    <row r="252" spans="1:17" ht="19" customHeight="1">
      <c r="A252" s="133"/>
      <c r="B252" s="391"/>
      <c r="C252" s="35"/>
      <c r="D252" s="267"/>
      <c r="E252" s="267"/>
      <c r="F252" s="267"/>
      <c r="G252" s="323"/>
      <c r="H252" s="324"/>
      <c r="I252" s="224"/>
      <c r="J252" s="224"/>
      <c r="K252" s="224"/>
      <c r="L252" s="224"/>
      <c r="M252" s="14"/>
      <c r="N252" s="15"/>
      <c r="O252" s="15"/>
      <c r="P252" s="15"/>
      <c r="Q252" s="16"/>
    </row>
    <row r="253" spans="1:17" ht="17" customHeight="1">
      <c r="A253" s="133"/>
      <c r="B253" s="90" t="s">
        <v>39</v>
      </c>
      <c r="C253" s="424"/>
      <c r="D253" s="424"/>
      <c r="E253" s="424"/>
      <c r="F253" s="424"/>
      <c r="G253" s="425"/>
      <c r="H253" s="450">
        <f>H243-H250</f>
        <v>-847077.29975885735</v>
      </c>
      <c r="I253" s="450">
        <f t="shared" ref="I253:L253" si="15">I243-I250</f>
        <v>-429852.73832685733</v>
      </c>
      <c r="J253" s="450">
        <f t="shared" si="15"/>
        <v>226705.79611314274</v>
      </c>
      <c r="K253" s="450">
        <f t="shared" si="15"/>
        <v>1309565.2733938275</v>
      </c>
      <c r="L253" s="450">
        <f t="shared" si="15"/>
        <v>1645466.0867367208</v>
      </c>
      <c r="M253" s="14"/>
      <c r="N253" s="15"/>
      <c r="O253" s="15"/>
      <c r="P253" s="15"/>
      <c r="Q253" s="16"/>
    </row>
    <row r="254" spans="1:17" ht="16" customHeight="1">
      <c r="A254" s="133"/>
      <c r="B254" s="95" t="s">
        <v>32</v>
      </c>
      <c r="C254" s="135"/>
      <c r="D254" s="135"/>
      <c r="E254" s="135"/>
      <c r="F254" s="135"/>
      <c r="G254" s="351"/>
      <c r="H254" s="352">
        <f>H253/Revenue!H$123</f>
        <v>-0.81216756262466394</v>
      </c>
      <c r="I254" s="353">
        <f>I253/Revenue!I$123</f>
        <v>-0.19961395315962374</v>
      </c>
      <c r="J254" s="353">
        <f>J253/Revenue!J$123</f>
        <v>5.925567219566362E-2</v>
      </c>
      <c r="K254" s="353">
        <f>K253/Revenue!K$123</f>
        <v>0.20291549543471046</v>
      </c>
      <c r="L254" s="353">
        <f>L253/Revenue!L$123</f>
        <v>0.15320892318466386</v>
      </c>
      <c r="M254" s="244"/>
      <c r="N254" s="15"/>
      <c r="O254" s="15"/>
      <c r="P254" s="15"/>
      <c r="Q254" s="16"/>
    </row>
    <row r="255" spans="1:17" ht="19" customHeight="1">
      <c r="A255" s="206"/>
      <c r="B255" s="457"/>
      <c r="C255" s="35"/>
      <c r="D255" s="267"/>
      <c r="E255" s="267"/>
      <c r="F255" s="267"/>
      <c r="G255" s="221"/>
      <c r="H255" s="458"/>
      <c r="I255" s="458"/>
      <c r="J255" s="458"/>
      <c r="K255" s="458"/>
      <c r="L255" s="458"/>
      <c r="M255" s="221"/>
      <c r="N255" s="15"/>
      <c r="O255" s="15"/>
      <c r="P255" s="15"/>
      <c r="Q255" s="16"/>
    </row>
    <row r="256" spans="1:17" ht="19" customHeight="1">
      <c r="A256" s="206"/>
      <c r="B256" s="457"/>
      <c r="C256" s="35"/>
      <c r="D256" s="267"/>
      <c r="E256" s="267"/>
      <c r="F256" s="267"/>
      <c r="G256" s="221"/>
      <c r="H256" s="458"/>
      <c r="I256" s="458"/>
      <c r="J256" s="458"/>
      <c r="K256" s="458"/>
      <c r="L256" s="458"/>
      <c r="M256" s="221"/>
      <c r="N256" s="15"/>
      <c r="O256" s="15"/>
      <c r="P256" s="15"/>
      <c r="Q256" s="16"/>
    </row>
    <row r="257" spans="1:17" ht="19" customHeight="1">
      <c r="A257" s="206"/>
      <c r="B257" s="457"/>
      <c r="C257" s="35"/>
      <c r="D257" s="267"/>
      <c r="E257" s="267"/>
      <c r="F257" s="267"/>
      <c r="G257" s="221"/>
      <c r="H257" s="458"/>
      <c r="I257" s="458"/>
      <c r="J257" s="458"/>
      <c r="K257" s="458"/>
      <c r="L257" s="458"/>
      <c r="M257" s="221"/>
      <c r="N257" s="15"/>
      <c r="O257" s="15"/>
      <c r="P257" s="15"/>
      <c r="Q257" s="16"/>
    </row>
    <row r="258" spans="1:17" ht="19" customHeight="1">
      <c r="A258" s="206"/>
      <c r="B258" s="457"/>
      <c r="C258" s="35"/>
      <c r="D258" s="267"/>
      <c r="E258" s="267"/>
      <c r="F258" s="267"/>
      <c r="G258" s="221"/>
      <c r="H258" s="458"/>
      <c r="I258" s="458"/>
      <c r="J258" s="458"/>
      <c r="K258" s="458"/>
      <c r="L258" s="458"/>
      <c r="M258" s="221"/>
      <c r="N258" s="15"/>
      <c r="O258" s="15"/>
      <c r="P258" s="15"/>
      <c r="Q258" s="16"/>
    </row>
    <row r="259" spans="1:17" ht="19" customHeight="1">
      <c r="A259" s="206"/>
      <c r="B259" s="457"/>
      <c r="C259" s="35"/>
      <c r="D259" s="267"/>
      <c r="E259" s="267"/>
      <c r="F259" s="267"/>
      <c r="G259" s="221"/>
      <c r="H259" s="458"/>
      <c r="I259" s="458"/>
      <c r="J259" s="458"/>
      <c r="K259" s="458"/>
      <c r="L259" s="458"/>
      <c r="M259" s="221"/>
      <c r="N259" s="15"/>
      <c r="O259" s="15"/>
      <c r="P259" s="15"/>
      <c r="Q259" s="16"/>
    </row>
    <row r="260" spans="1:17" ht="19" customHeight="1">
      <c r="A260" s="206"/>
      <c r="B260" s="457"/>
      <c r="C260" s="35"/>
      <c r="D260" s="267"/>
      <c r="E260" s="267"/>
      <c r="F260" s="267"/>
      <c r="G260" s="221"/>
      <c r="H260" s="458"/>
      <c r="I260" s="458"/>
      <c r="J260" s="458"/>
      <c r="K260" s="458"/>
      <c r="L260" s="458"/>
      <c r="M260" s="221"/>
      <c r="N260" s="15"/>
      <c r="O260" s="15"/>
      <c r="P260" s="15"/>
      <c r="Q260" s="16"/>
    </row>
    <row r="261" spans="1:17" ht="19" customHeight="1">
      <c r="A261" s="206"/>
      <c r="B261" s="457"/>
      <c r="C261" s="35"/>
      <c r="D261" s="267"/>
      <c r="E261" s="267"/>
      <c r="F261" s="267"/>
      <c r="G261" s="221"/>
      <c r="H261" s="458"/>
      <c r="I261" s="458"/>
      <c r="J261" s="458"/>
      <c r="K261" s="458"/>
      <c r="L261" s="458"/>
      <c r="M261" s="221"/>
      <c r="N261" s="15"/>
      <c r="O261" s="15"/>
      <c r="P261" s="15"/>
      <c r="Q261" s="16"/>
    </row>
    <row r="262" spans="1:17" ht="19" customHeight="1">
      <c r="A262" s="206"/>
      <c r="B262" s="457"/>
      <c r="C262" s="35"/>
      <c r="D262" s="267"/>
      <c r="E262" s="267"/>
      <c r="F262" s="267"/>
      <c r="G262" s="221"/>
      <c r="H262" s="458"/>
      <c r="I262" s="458"/>
      <c r="J262" s="458"/>
      <c r="K262" s="458"/>
      <c r="L262" s="458"/>
      <c r="M262" s="221"/>
      <c r="N262" s="15"/>
      <c r="O262" s="15"/>
      <c r="P262" s="15"/>
      <c r="Q262" s="16"/>
    </row>
    <row r="263" spans="1:17" ht="19" customHeight="1">
      <c r="A263" s="206"/>
      <c r="B263" s="457"/>
      <c r="C263" s="35"/>
      <c r="D263" s="267"/>
      <c r="E263" s="267"/>
      <c r="F263" s="267"/>
      <c r="G263" s="221"/>
      <c r="H263" s="458"/>
      <c r="I263" s="458"/>
      <c r="J263" s="458"/>
      <c r="K263" s="458"/>
      <c r="L263" s="458"/>
      <c r="M263" s="221"/>
      <c r="N263" s="15"/>
      <c r="O263" s="15"/>
      <c r="P263" s="15"/>
      <c r="Q263" s="16"/>
    </row>
    <row r="264" spans="1:17" ht="19" customHeight="1">
      <c r="A264" s="206"/>
      <c r="B264" s="457"/>
      <c r="C264" s="35"/>
      <c r="D264" s="267"/>
      <c r="E264" s="267"/>
      <c r="F264" s="267"/>
      <c r="G264" s="221"/>
      <c r="H264" s="458"/>
      <c r="I264" s="458"/>
      <c r="J264" s="458"/>
      <c r="K264" s="458"/>
      <c r="L264" s="458"/>
      <c r="M264" s="221"/>
      <c r="N264" s="15"/>
      <c r="O264" s="15"/>
      <c r="P264" s="15"/>
      <c r="Q264" s="16"/>
    </row>
    <row r="265" spans="1:17" ht="19" customHeight="1">
      <c r="A265" s="206"/>
      <c r="B265" s="457"/>
      <c r="C265" s="35"/>
      <c r="D265" s="267"/>
      <c r="E265" s="267"/>
      <c r="F265" s="267"/>
      <c r="G265" s="221"/>
      <c r="H265" s="458"/>
      <c r="I265" s="458"/>
      <c r="J265" s="458"/>
      <c r="K265" s="458"/>
      <c r="L265" s="458"/>
      <c r="M265" s="221"/>
      <c r="N265" s="15"/>
      <c r="O265" s="15"/>
      <c r="P265" s="15"/>
      <c r="Q265" s="16"/>
    </row>
    <row r="266" spans="1:17" ht="19" customHeight="1">
      <c r="A266" s="206"/>
      <c r="B266" s="457"/>
      <c r="C266" s="35"/>
      <c r="D266" s="267"/>
      <c r="E266" s="267"/>
      <c r="F266" s="267"/>
      <c r="G266" s="221"/>
      <c r="H266" s="458"/>
      <c r="I266" s="458"/>
      <c r="J266" s="458"/>
      <c r="K266" s="458"/>
      <c r="L266" s="458"/>
      <c r="M266" s="221"/>
      <c r="N266" s="15"/>
      <c r="O266" s="15"/>
      <c r="P266" s="15"/>
      <c r="Q266" s="16"/>
    </row>
    <row r="267" spans="1:17" ht="19" customHeight="1">
      <c r="A267" s="206"/>
      <c r="B267" s="457"/>
      <c r="C267" s="35"/>
      <c r="D267" s="267"/>
      <c r="E267" s="267"/>
      <c r="F267" s="267"/>
      <c r="G267" s="221"/>
      <c r="H267" s="458"/>
      <c r="I267" s="458"/>
      <c r="J267" s="458"/>
      <c r="K267" s="458"/>
      <c r="L267" s="458"/>
      <c r="M267" s="221"/>
      <c r="N267" s="15"/>
      <c r="O267" s="15"/>
      <c r="P267" s="15"/>
      <c r="Q267" s="16"/>
    </row>
    <row r="268" spans="1:17" ht="19" customHeight="1">
      <c r="A268" s="206"/>
      <c r="B268" s="457"/>
      <c r="C268" s="35"/>
      <c r="D268" s="267"/>
      <c r="E268" s="267"/>
      <c r="F268" s="267"/>
      <c r="G268" s="221"/>
      <c r="H268" s="458"/>
      <c r="I268" s="458"/>
      <c r="J268" s="458"/>
      <c r="K268" s="458"/>
      <c r="L268" s="458"/>
      <c r="M268" s="221"/>
      <c r="N268" s="15"/>
      <c r="O268" s="15"/>
      <c r="P268" s="15"/>
      <c r="Q268" s="16"/>
    </row>
    <row r="269" spans="1:17" ht="19" customHeight="1">
      <c r="A269" s="206"/>
      <c r="B269" s="457"/>
      <c r="C269" s="35"/>
      <c r="D269" s="267"/>
      <c r="E269" s="267"/>
      <c r="F269" s="267"/>
      <c r="G269" s="221"/>
      <c r="H269" s="458"/>
      <c r="I269" s="458"/>
      <c r="J269" s="458"/>
      <c r="K269" s="458"/>
      <c r="L269" s="458"/>
      <c r="M269" s="221"/>
      <c r="N269" s="15"/>
      <c r="O269" s="15"/>
      <c r="P269" s="15"/>
      <c r="Q269" s="16"/>
    </row>
    <row r="270" spans="1:17" ht="19" customHeight="1">
      <c r="A270" s="206"/>
      <c r="B270" s="457"/>
      <c r="C270" s="35"/>
      <c r="D270" s="267"/>
      <c r="E270" s="267"/>
      <c r="F270" s="267"/>
      <c r="G270" s="221"/>
      <c r="H270" s="458"/>
      <c r="I270" s="458"/>
      <c r="J270" s="458"/>
      <c r="K270" s="458"/>
      <c r="L270" s="458"/>
      <c r="M270" s="221"/>
      <c r="N270" s="15"/>
      <c r="O270" s="15"/>
      <c r="P270" s="15"/>
      <c r="Q270" s="16"/>
    </row>
    <row r="271" spans="1:17" ht="19" customHeight="1">
      <c r="A271" s="206"/>
      <c r="B271" s="457"/>
      <c r="C271" s="35"/>
      <c r="D271" s="267"/>
      <c r="E271" s="267"/>
      <c r="F271" s="267"/>
      <c r="G271" s="221"/>
      <c r="H271" s="458"/>
      <c r="I271" s="458"/>
      <c r="J271" s="458"/>
      <c r="K271" s="458"/>
      <c r="L271" s="458"/>
      <c r="M271" s="221"/>
      <c r="N271" s="15"/>
      <c r="O271" s="15"/>
      <c r="P271" s="15"/>
      <c r="Q271" s="16"/>
    </row>
    <row r="272" spans="1:17" ht="19" customHeight="1">
      <c r="A272" s="206"/>
      <c r="B272" s="457"/>
      <c r="C272" s="35"/>
      <c r="D272" s="267"/>
      <c r="E272" s="267"/>
      <c r="F272" s="267"/>
      <c r="G272" s="221"/>
      <c r="H272" s="458"/>
      <c r="I272" s="458"/>
      <c r="J272" s="458"/>
      <c r="K272" s="458"/>
      <c r="L272" s="458"/>
      <c r="M272" s="221"/>
      <c r="N272" s="15"/>
      <c r="O272" s="15"/>
      <c r="P272" s="15"/>
      <c r="Q272" s="16"/>
    </row>
    <row r="273" spans="1:17" ht="19" customHeight="1">
      <c r="A273" s="206"/>
      <c r="B273" s="457"/>
      <c r="C273" s="35"/>
      <c r="D273" s="267"/>
      <c r="E273" s="267"/>
      <c r="F273" s="267"/>
      <c r="G273" s="221"/>
      <c r="H273" s="458"/>
      <c r="I273" s="458"/>
      <c r="J273" s="458"/>
      <c r="K273" s="458"/>
      <c r="L273" s="458"/>
      <c r="M273" s="221"/>
      <c r="N273" s="221"/>
      <c r="O273" s="15"/>
      <c r="P273" s="15"/>
      <c r="Q273" s="16"/>
    </row>
    <row r="274" spans="1:17" ht="19" customHeight="1">
      <c r="A274" s="206"/>
      <c r="B274" s="457"/>
      <c r="C274" s="35"/>
      <c r="D274" s="267"/>
      <c r="E274" s="267"/>
      <c r="F274" s="267"/>
      <c r="G274" s="221"/>
      <c r="H274" s="458"/>
      <c r="I274" s="458"/>
      <c r="J274" s="458"/>
      <c r="K274" s="458"/>
      <c r="L274" s="458"/>
      <c r="M274" s="221"/>
      <c r="N274" s="221"/>
      <c r="O274" s="15"/>
      <c r="P274" s="15"/>
      <c r="Q274" s="16"/>
    </row>
    <row r="275" spans="1:17" ht="19" customHeight="1">
      <c r="A275" s="206"/>
      <c r="B275" s="457"/>
      <c r="C275" s="35"/>
      <c r="D275" s="267"/>
      <c r="E275" s="267"/>
      <c r="F275" s="267"/>
      <c r="G275" s="221"/>
      <c r="H275" s="458"/>
      <c r="I275" s="458"/>
      <c r="J275" s="458"/>
      <c r="K275" s="458"/>
      <c r="L275" s="458"/>
      <c r="M275" s="221"/>
      <c r="N275" s="221"/>
      <c r="O275" s="15"/>
      <c r="P275" s="15"/>
      <c r="Q275" s="16"/>
    </row>
    <row r="276" spans="1:17" ht="19" customHeight="1">
      <c r="A276" s="206"/>
      <c r="B276" s="457"/>
      <c r="C276" s="35"/>
      <c r="D276" s="267"/>
      <c r="E276" s="267"/>
      <c r="F276" s="267"/>
      <c r="G276" s="221"/>
      <c r="H276" s="458"/>
      <c r="I276" s="458"/>
      <c r="J276" s="458"/>
      <c r="K276" s="458"/>
      <c r="L276" s="458"/>
      <c r="M276" s="221"/>
      <c r="N276" s="221"/>
      <c r="O276" s="15"/>
      <c r="P276" s="15"/>
      <c r="Q276" s="16"/>
    </row>
    <row r="277" spans="1:17" ht="19" customHeight="1">
      <c r="A277" s="206"/>
      <c r="B277" s="457"/>
      <c r="C277" s="35"/>
      <c r="D277" s="267"/>
      <c r="E277" s="267"/>
      <c r="F277" s="267"/>
      <c r="G277" s="221"/>
      <c r="H277" s="458"/>
      <c r="I277" s="458"/>
      <c r="J277" s="458"/>
      <c r="K277" s="458"/>
      <c r="L277" s="458"/>
      <c r="M277" s="221"/>
      <c r="N277" s="221"/>
      <c r="O277" s="15"/>
      <c r="P277" s="15"/>
      <c r="Q277" s="16"/>
    </row>
    <row r="278" spans="1:17" ht="19" customHeight="1">
      <c r="A278" s="206"/>
      <c r="B278" s="457"/>
      <c r="C278" s="35"/>
      <c r="D278" s="267"/>
      <c r="E278" s="267"/>
      <c r="F278" s="267"/>
      <c r="G278" s="221"/>
      <c r="H278" s="458"/>
      <c r="I278" s="458"/>
      <c r="J278" s="458"/>
      <c r="K278" s="458"/>
      <c r="L278" s="458"/>
      <c r="M278" s="221"/>
      <c r="N278" s="221"/>
      <c r="O278" s="15"/>
      <c r="P278" s="15"/>
      <c r="Q278" s="16"/>
    </row>
    <row r="279" spans="1:17" ht="16" customHeight="1">
      <c r="A279" s="307"/>
      <c r="B279" s="54"/>
      <c r="C279" s="54"/>
      <c r="D279" s="54"/>
      <c r="E279" s="54"/>
      <c r="F279" s="54"/>
      <c r="G279" s="54"/>
      <c r="H279" s="459"/>
      <c r="I279" s="459"/>
      <c r="J279" s="459"/>
      <c r="K279" s="459"/>
      <c r="L279" s="459"/>
      <c r="M279" s="459"/>
      <c r="N279" s="459"/>
      <c r="O279" s="54"/>
      <c r="P279" s="54"/>
      <c r="Q279" s="55"/>
    </row>
  </sheetData>
  <mergeCells count="1">
    <mergeCell ref="D1:H1"/>
  </mergeCells>
  <pageMargins left="0.7" right="0.7" top="0.75" bottom="0.75" header="0.3" footer="0.3"/>
  <pageSetup orientation="portrait"/>
  <headerFooter>
    <oddFooter>&amp;C&amp;"Helvetica Neue,Regular"&amp;11&amp;K000000&amp;P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59"/>
  <sheetViews>
    <sheetView showGridLines="0" topLeftCell="A7" workbookViewId="0">
      <selection activeCell="F27" sqref="F27"/>
    </sheetView>
  </sheetViews>
  <sheetFormatPr baseColWidth="10" defaultColWidth="11.1640625" defaultRowHeight="16" customHeight="1"/>
  <cols>
    <col min="1" max="1" width="7" style="1" customWidth="1"/>
    <col min="2" max="2" width="11" style="1" customWidth="1"/>
    <col min="3" max="3" width="18.83203125" style="1" customWidth="1"/>
    <col min="4" max="5" width="18.5" style="1" customWidth="1"/>
    <col min="6" max="6" width="7" style="1" customWidth="1"/>
    <col min="7" max="7" width="5.5" style="1" customWidth="1"/>
    <col min="8" max="12" width="18.5" style="1" customWidth="1"/>
    <col min="13" max="256" width="11.1640625" style="1" customWidth="1"/>
  </cols>
  <sheetData>
    <row r="1" spans="1:13" ht="25" customHeight="1">
      <c r="A1" s="192"/>
      <c r="B1" s="57" t="s">
        <v>19</v>
      </c>
      <c r="C1" s="193"/>
      <c r="D1" s="619"/>
      <c r="E1" s="619"/>
      <c r="F1" s="619"/>
      <c r="G1" s="619"/>
      <c r="H1" s="619"/>
      <c r="I1" s="6"/>
      <c r="J1" s="5"/>
      <c r="K1" s="6"/>
      <c r="L1" s="6"/>
    </row>
    <row r="2" spans="1:13" ht="16" customHeight="1">
      <c r="A2" s="48"/>
      <c r="B2" s="196"/>
      <c r="C2" s="196"/>
      <c r="D2" s="115"/>
      <c r="E2" s="115"/>
      <c r="F2" s="115"/>
      <c r="G2" s="197" t="s">
        <v>64</v>
      </c>
      <c r="H2" s="198">
        <v>1</v>
      </c>
      <c r="I2" s="198">
        <v>2</v>
      </c>
      <c r="J2" s="198">
        <v>3</v>
      </c>
      <c r="K2" s="198">
        <v>4</v>
      </c>
      <c r="L2" s="198">
        <v>5</v>
      </c>
      <c r="M2" s="543"/>
    </row>
    <row r="3" spans="1:13" ht="20" customHeight="1">
      <c r="A3" s="199"/>
      <c r="B3" s="200" t="s">
        <v>225</v>
      </c>
      <c r="C3" s="201"/>
      <c r="D3" s="201"/>
      <c r="E3" s="201"/>
      <c r="F3" s="201"/>
      <c r="G3" s="202"/>
      <c r="H3" s="203" t="str">
        <f>"Year "&amp;H2</f>
        <v>Year 1</v>
      </c>
      <c r="I3" s="203" t="str">
        <f>"Year "&amp;I2</f>
        <v>Year 2</v>
      </c>
      <c r="J3" s="203" t="str">
        <f>"Year "&amp;J2</f>
        <v>Year 3</v>
      </c>
      <c r="K3" s="203" t="str">
        <f>"Year "&amp;K2</f>
        <v>Year 4</v>
      </c>
      <c r="L3" s="523" t="str">
        <f>"Year "&amp;L2</f>
        <v>Year 5</v>
      </c>
      <c r="M3" s="524"/>
    </row>
    <row r="4" spans="1:13" ht="12" customHeight="1">
      <c r="A4" s="309"/>
      <c r="B4" s="310"/>
      <c r="C4" s="311"/>
      <c r="D4" s="311"/>
      <c r="E4" s="310"/>
      <c r="F4" s="311"/>
      <c r="G4" s="311"/>
      <c r="H4" s="312"/>
      <c r="I4" s="312"/>
      <c r="J4" s="312"/>
      <c r="K4" s="312"/>
      <c r="L4" s="312"/>
      <c r="M4" s="543"/>
    </row>
    <row r="5" spans="1:13" ht="12" customHeight="1">
      <c r="A5" s="309"/>
      <c r="B5" s="313"/>
      <c r="C5" s="314"/>
      <c r="D5" s="314"/>
      <c r="E5" s="313"/>
      <c r="F5" s="314"/>
      <c r="G5" s="314"/>
      <c r="H5" s="315"/>
      <c r="I5" s="315"/>
      <c r="J5" s="315"/>
      <c r="K5" s="315"/>
      <c r="L5" s="315"/>
      <c r="M5" s="543"/>
    </row>
    <row r="6" spans="1:13" ht="20" customHeight="1">
      <c r="A6" s="460"/>
      <c r="B6" s="211" t="s">
        <v>57</v>
      </c>
      <c r="C6" s="201"/>
      <c r="D6" s="201"/>
      <c r="E6" s="201"/>
      <c r="F6" s="201"/>
      <c r="G6" s="202"/>
      <c r="H6" s="212" t="str">
        <f t="shared" ref="H6:H55" si="0">H$3</f>
        <v>Year 1</v>
      </c>
      <c r="I6" s="212" t="str">
        <f>I$3</f>
        <v>Year 2</v>
      </c>
      <c r="J6" s="212" t="str">
        <f>J$3</f>
        <v>Year 3</v>
      </c>
      <c r="K6" s="212" t="str">
        <f>K$3</f>
        <v>Year 4</v>
      </c>
      <c r="L6" s="213" t="str">
        <f>L$3</f>
        <v>Year 5</v>
      </c>
    </row>
    <row r="7" spans="1:13" ht="19" customHeight="1">
      <c r="A7" s="133"/>
      <c r="B7" s="80" t="s">
        <v>166</v>
      </c>
      <c r="C7" s="318"/>
      <c r="D7" s="286"/>
      <c r="E7" s="273"/>
      <c r="F7" s="273"/>
      <c r="G7" s="527"/>
      <c r="H7" s="462"/>
      <c r="I7" s="321"/>
      <c r="J7" s="321"/>
      <c r="K7" s="321"/>
      <c r="L7" s="321"/>
    </row>
    <row r="8" spans="1:13" ht="16" customHeight="1">
      <c r="A8" s="133"/>
      <c r="B8" s="244"/>
      <c r="C8" s="463" t="s">
        <v>167</v>
      </c>
      <c r="D8" s="326">
        <v>1000</v>
      </c>
      <c r="E8" s="272"/>
      <c r="F8" s="267"/>
      <c r="G8" s="528"/>
      <c r="H8" s="464"/>
      <c r="I8" s="465"/>
      <c r="J8" s="465"/>
      <c r="K8" s="465"/>
      <c r="L8" s="465"/>
    </row>
    <row r="9" spans="1:13" ht="16" customHeight="1">
      <c r="A9" s="133"/>
      <c r="B9" s="244"/>
      <c r="C9" s="233" t="s">
        <v>168</v>
      </c>
      <c r="D9" s="272">
        <f>D8/'P&amp;L &amp; CF'!G13*360</f>
        <v>1.0285714285714285</v>
      </c>
      <c r="E9" s="272"/>
      <c r="F9" s="267"/>
      <c r="G9" s="528"/>
      <c r="H9" s="466"/>
      <c r="I9" s="224"/>
      <c r="J9" s="224"/>
      <c r="K9" s="224"/>
      <c r="L9" s="224"/>
    </row>
    <row r="10" spans="1:13" ht="16" customHeight="1">
      <c r="A10" s="133"/>
      <c r="B10" s="338"/>
      <c r="C10" s="339"/>
      <c r="D10" s="163"/>
      <c r="E10" s="339"/>
      <c r="F10" s="339"/>
      <c r="G10" s="529"/>
      <c r="H10" s="467"/>
      <c r="I10" s="342"/>
      <c r="J10" s="342"/>
      <c r="K10" s="342"/>
      <c r="L10" s="342"/>
    </row>
    <row r="11" spans="1:13" ht="16" customHeight="1">
      <c r="A11" s="133"/>
      <c r="B11" s="134" t="str">
        <f>"Total "&amp;B7</f>
        <v>Total Accounts Receivables</v>
      </c>
      <c r="C11" s="135"/>
      <c r="D11" s="135"/>
      <c r="E11" s="135"/>
      <c r="F11" s="135"/>
      <c r="G11" s="530"/>
      <c r="H11" s="468">
        <f>$D9/360*Revenue!H123</f>
        <v>2979.9526204081626</v>
      </c>
      <c r="I11" s="468">
        <f>$D9/360*Revenue!I123</f>
        <v>6152.6294204081623</v>
      </c>
      <c r="J11" s="468">
        <f>$D9/360*Revenue!J123</f>
        <v>10931.119706122448</v>
      </c>
      <c r="K11" s="468">
        <f>$D9/360*Revenue!K123</f>
        <v>18439.277191836729</v>
      </c>
      <c r="L11" s="468">
        <f>$D9/360*Revenue!L123</f>
        <v>30685.756277551012</v>
      </c>
    </row>
    <row r="12" spans="1:13" ht="16" customHeight="1">
      <c r="A12" s="133"/>
      <c r="B12" s="269"/>
      <c r="C12" s="221"/>
      <c r="D12" s="221"/>
      <c r="E12" s="221"/>
      <c r="F12" s="221"/>
      <c r="G12" s="528"/>
      <c r="H12" s="464"/>
      <c r="I12" s="465"/>
      <c r="J12" s="465"/>
      <c r="K12" s="465"/>
      <c r="L12" s="465"/>
    </row>
    <row r="13" spans="1:13" ht="19" customHeight="1">
      <c r="A13" s="133"/>
      <c r="B13" s="80" t="s">
        <v>188</v>
      </c>
      <c r="C13" s="318"/>
      <c r="D13" s="286"/>
      <c r="E13" s="273"/>
      <c r="F13" s="273"/>
      <c r="G13" s="527"/>
      <c r="H13" s="462"/>
      <c r="I13" s="321"/>
      <c r="J13" s="321"/>
      <c r="K13" s="321"/>
      <c r="L13" s="321"/>
    </row>
    <row r="14" spans="1:13" ht="16" customHeight="1">
      <c r="A14" s="133"/>
      <c r="B14" s="244"/>
      <c r="C14" s="463" t="s">
        <v>167</v>
      </c>
      <c r="D14" s="326">
        <v>1000</v>
      </c>
      <c r="E14" s="272"/>
      <c r="F14" s="267"/>
      <c r="G14" s="528"/>
      <c r="H14" s="464"/>
      <c r="I14" s="465"/>
      <c r="J14" s="465"/>
      <c r="K14" s="465"/>
      <c r="L14" s="465"/>
    </row>
    <row r="15" spans="1:13" ht="16" customHeight="1">
      <c r="A15" s="133"/>
      <c r="B15" s="244"/>
      <c r="C15" s="233" t="s">
        <v>236</v>
      </c>
      <c r="D15" s="594">
        <v>0.1</v>
      </c>
      <c r="E15" s="272"/>
      <c r="F15" s="267"/>
      <c r="G15" s="528"/>
      <c r="H15" s="466"/>
      <c r="I15" s="224"/>
      <c r="J15" s="224"/>
      <c r="K15" s="224"/>
      <c r="L15" s="224"/>
    </row>
    <row r="16" spans="1:13" ht="16" customHeight="1">
      <c r="A16" s="133"/>
      <c r="B16" s="338"/>
      <c r="C16" s="339"/>
      <c r="D16" s="163"/>
      <c r="E16" s="339"/>
      <c r="F16" s="339"/>
      <c r="G16" s="529"/>
      <c r="H16" s="467"/>
      <c r="I16" s="342"/>
      <c r="J16" s="342"/>
      <c r="K16" s="342"/>
      <c r="L16" s="342"/>
    </row>
    <row r="17" spans="1:12" ht="16" customHeight="1">
      <c r="A17" s="133"/>
      <c r="B17" s="134" t="str">
        <f>"Total "&amp;B13</f>
        <v>Total Inventory</v>
      </c>
      <c r="C17" s="135"/>
      <c r="D17" s="135"/>
      <c r="E17" s="135"/>
      <c r="F17" s="135"/>
      <c r="G17" s="530"/>
      <c r="H17" s="468">
        <f>$D15*Revenue!H123</f>
        <v>104298.34171428572</v>
      </c>
      <c r="I17" s="468">
        <f>$D15*Revenue!I123</f>
        <v>215342.02971428575</v>
      </c>
      <c r="J17" s="468">
        <f>$D15*Revenue!J123</f>
        <v>382589.18971428578</v>
      </c>
      <c r="K17" s="468">
        <f>$D15*Revenue!K123</f>
        <v>645374.70171428565</v>
      </c>
      <c r="L17" s="468">
        <f>$D15*Revenue!L123</f>
        <v>1074001.4697142856</v>
      </c>
    </row>
    <row r="18" spans="1:12" ht="16" customHeight="1">
      <c r="A18" s="133"/>
      <c r="B18" s="269"/>
      <c r="C18" s="221"/>
      <c r="D18" s="221"/>
      <c r="E18" s="221"/>
      <c r="F18" s="221"/>
      <c r="G18" s="528"/>
      <c r="H18" s="464"/>
      <c r="I18" s="465"/>
      <c r="J18" s="465"/>
      <c r="K18" s="465"/>
      <c r="L18" s="465"/>
    </row>
    <row r="19" spans="1:12" ht="19" customHeight="1">
      <c r="A19" s="133"/>
      <c r="B19" s="124" t="s">
        <v>59</v>
      </c>
      <c r="C19" s="221"/>
      <c r="D19" s="228"/>
      <c r="E19" s="221"/>
      <c r="F19" s="221"/>
      <c r="G19" s="528"/>
      <c r="H19" s="464"/>
      <c r="I19" s="465"/>
      <c r="J19" s="465"/>
      <c r="K19" s="465"/>
      <c r="L19" s="465"/>
    </row>
    <row r="20" spans="1:12" ht="16" customHeight="1">
      <c r="A20" s="133"/>
      <c r="B20" s="269"/>
      <c r="C20" s="463" t="s">
        <v>167</v>
      </c>
      <c r="D20" s="445">
        <v>10000</v>
      </c>
      <c r="E20" s="232"/>
      <c r="F20" s="221"/>
      <c r="G20" s="531" t="s">
        <v>169</v>
      </c>
      <c r="H20" s="469">
        <f>D20+H54-Costs!H236</f>
        <v>8000</v>
      </c>
      <c r="I20" s="235">
        <f>H20+I54-Costs!I236</f>
        <v>6000</v>
      </c>
      <c r="J20" s="235">
        <f>I20+J54-Costs!J236</f>
        <v>4000</v>
      </c>
      <c r="K20" s="235">
        <f>J20+K54-Costs!K236</f>
        <v>2000</v>
      </c>
      <c r="L20" s="235">
        <f>K20+L54-Costs!L236</f>
        <v>0</v>
      </c>
    </row>
    <row r="21" spans="1:12" ht="16" customHeight="1">
      <c r="A21" s="133"/>
      <c r="B21" s="269"/>
      <c r="C21" s="221"/>
      <c r="D21" s="221"/>
      <c r="E21" s="221"/>
      <c r="F21" s="221"/>
      <c r="G21" s="528"/>
      <c r="H21" s="464"/>
      <c r="I21" s="465"/>
      <c r="J21" s="465"/>
      <c r="K21" s="465"/>
      <c r="L21" s="465"/>
    </row>
    <row r="22" spans="1:12" ht="19" customHeight="1">
      <c r="A22" s="133"/>
      <c r="B22" s="124" t="s">
        <v>60</v>
      </c>
      <c r="C22" s="221"/>
      <c r="D22" s="228"/>
      <c r="E22" s="221"/>
      <c r="F22" s="221"/>
      <c r="G22" s="528"/>
      <c r="H22" s="464"/>
      <c r="I22" s="465"/>
      <c r="J22" s="465"/>
      <c r="K22" s="465"/>
      <c r="L22" s="465"/>
    </row>
    <row r="23" spans="1:12" ht="16" customHeight="1">
      <c r="A23" s="133"/>
      <c r="B23" s="269"/>
      <c r="C23" s="463" t="s">
        <v>167</v>
      </c>
      <c r="D23" s="445">
        <v>10000</v>
      </c>
      <c r="E23" s="232"/>
      <c r="F23" s="221"/>
      <c r="G23" s="531" t="s">
        <v>169</v>
      </c>
      <c r="H23" s="469">
        <f>D23+H57-Costs!H237</f>
        <v>8000</v>
      </c>
      <c r="I23" s="235">
        <f>H23+I57-Costs!I237</f>
        <v>6000</v>
      </c>
      <c r="J23" s="235">
        <f>I23+J57-Costs!J237</f>
        <v>4000</v>
      </c>
      <c r="K23" s="235">
        <f>J23+K57-Costs!K237</f>
        <v>2000</v>
      </c>
      <c r="L23" s="235">
        <f>K23+L57-Costs!L237</f>
        <v>0</v>
      </c>
    </row>
    <row r="24" spans="1:12" ht="16" customHeight="1">
      <c r="A24" s="133"/>
      <c r="B24" s="269"/>
      <c r="C24" s="221"/>
      <c r="D24" s="221"/>
      <c r="E24" s="221"/>
      <c r="F24" s="221"/>
      <c r="G24" s="528"/>
      <c r="H24" s="464"/>
      <c r="I24" s="465"/>
      <c r="J24" s="465"/>
      <c r="K24" s="465"/>
      <c r="L24" s="465"/>
    </row>
    <row r="25" spans="1:12" ht="19" customHeight="1">
      <c r="A25" s="133"/>
      <c r="B25" s="124" t="s">
        <v>193</v>
      </c>
      <c r="C25" s="221"/>
      <c r="D25" s="228"/>
      <c r="E25" s="221"/>
      <c r="F25" s="221"/>
      <c r="G25" s="528"/>
      <c r="H25" s="464"/>
      <c r="I25" s="465"/>
      <c r="J25" s="465"/>
      <c r="K25" s="465"/>
      <c r="L25" s="465"/>
    </row>
    <row r="26" spans="1:12" ht="16" customHeight="1">
      <c r="A26" s="133"/>
      <c r="B26" s="269"/>
      <c r="C26" s="463" t="s">
        <v>167</v>
      </c>
      <c r="D26" s="445">
        <v>10000</v>
      </c>
      <c r="E26" s="232"/>
      <c r="F26" s="221"/>
      <c r="G26" s="531" t="s">
        <v>169</v>
      </c>
      <c r="H26" s="469">
        <f>D26+H60-Costs!H240</f>
        <v>10000</v>
      </c>
      <c r="I26" s="235">
        <f>H26+I60-Costs!I240</f>
        <v>10000</v>
      </c>
      <c r="J26" s="235">
        <f>I26+J60-Costs!J240</f>
        <v>10000</v>
      </c>
      <c r="K26" s="235">
        <f>J26+K60-Costs!K240</f>
        <v>10000</v>
      </c>
      <c r="L26" s="235">
        <f>K26+L60-Costs!L240</f>
        <v>10000</v>
      </c>
    </row>
    <row r="27" spans="1:12" ht="16" customHeight="1">
      <c r="A27" s="133"/>
      <c r="B27" s="269"/>
      <c r="C27" s="221"/>
      <c r="D27" s="221"/>
      <c r="E27" s="221"/>
      <c r="F27" s="221"/>
      <c r="G27" s="528"/>
      <c r="H27" s="464"/>
      <c r="I27" s="465"/>
      <c r="J27" s="465"/>
      <c r="K27" s="465"/>
      <c r="L27" s="465"/>
    </row>
    <row r="28" spans="1:12" ht="19" customHeight="1">
      <c r="A28" s="133"/>
      <c r="B28" s="124" t="s">
        <v>58</v>
      </c>
      <c r="C28" s="221"/>
      <c r="D28" s="228"/>
      <c r="E28" s="221"/>
      <c r="F28" s="221"/>
      <c r="G28" s="528"/>
      <c r="H28" s="464"/>
      <c r="I28" s="465"/>
      <c r="J28" s="465"/>
      <c r="K28" s="465"/>
      <c r="L28" s="465"/>
    </row>
    <row r="29" spans="1:12" ht="16" customHeight="1">
      <c r="A29" s="133"/>
      <c r="B29" s="269"/>
      <c r="C29" s="233" t="s">
        <v>170</v>
      </c>
      <c r="D29" s="445">
        <v>200000</v>
      </c>
      <c r="E29" s="232"/>
      <c r="F29" s="221"/>
      <c r="G29" s="528"/>
      <c r="H29" s="464"/>
      <c r="I29" s="465"/>
      <c r="J29" s="465"/>
      <c r="K29" s="465"/>
      <c r="L29" s="465"/>
    </row>
    <row r="30" spans="1:12" ht="16" customHeight="1">
      <c r="A30" s="133"/>
      <c r="B30" s="284"/>
      <c r="C30" s="228"/>
      <c r="D30" s="228"/>
      <c r="E30" s="228"/>
      <c r="F30" s="228"/>
      <c r="G30" s="532"/>
      <c r="H30" s="470"/>
      <c r="I30" s="471"/>
      <c r="J30" s="471"/>
      <c r="K30" s="471"/>
      <c r="L30" s="471"/>
    </row>
    <row r="31" spans="1:12" ht="20" customHeight="1">
      <c r="A31" s="472"/>
      <c r="B31" s="211" t="s">
        <v>62</v>
      </c>
      <c r="C31" s="201"/>
      <c r="D31" s="201"/>
      <c r="E31" s="201"/>
      <c r="F31" s="201"/>
      <c r="G31" s="533"/>
      <c r="H31" s="525" t="str">
        <f t="shared" si="0"/>
        <v>Year 1</v>
      </c>
      <c r="I31" s="212" t="str">
        <f>I$3</f>
        <v>Year 2</v>
      </c>
      <c r="J31" s="212" t="str">
        <f>J$3</f>
        <v>Year 3</v>
      </c>
      <c r="K31" s="212" t="str">
        <f>K$3</f>
        <v>Year 4</v>
      </c>
      <c r="L31" s="213" t="str">
        <f>L$3</f>
        <v>Year 5</v>
      </c>
    </row>
    <row r="32" spans="1:12" ht="19" customHeight="1">
      <c r="A32" s="133"/>
      <c r="B32" s="80" t="s">
        <v>171</v>
      </c>
      <c r="C32" s="461"/>
      <c r="D32" s="287"/>
      <c r="E32" s="461"/>
      <c r="F32" s="461"/>
      <c r="G32" s="527"/>
      <c r="H32" s="473"/>
      <c r="I32" s="474"/>
      <c r="J32" s="474"/>
      <c r="K32" s="474"/>
      <c r="L32" s="474"/>
    </row>
    <row r="33" spans="1:12" ht="16" customHeight="1">
      <c r="A33" s="133"/>
      <c r="B33" s="244"/>
      <c r="C33" s="463" t="s">
        <v>167</v>
      </c>
      <c r="D33" s="326">
        <v>10000</v>
      </c>
      <c r="E33" s="272"/>
      <c r="F33" s="267"/>
      <c r="G33" s="528"/>
      <c r="H33" s="464"/>
      <c r="I33" s="465"/>
      <c r="J33" s="465"/>
      <c r="K33" s="465"/>
      <c r="L33" s="465"/>
    </row>
    <row r="34" spans="1:12" ht="16" customHeight="1">
      <c r="A34" s="133"/>
      <c r="B34" s="244"/>
      <c r="C34" s="233" t="s">
        <v>172</v>
      </c>
      <c r="D34" s="277">
        <v>60</v>
      </c>
      <c r="E34" s="272"/>
      <c r="F34" s="267"/>
      <c r="G34" s="528"/>
      <c r="H34" s="466"/>
      <c r="I34" s="224"/>
      <c r="J34" s="224"/>
      <c r="K34" s="224"/>
      <c r="L34" s="224"/>
    </row>
    <row r="35" spans="1:12" ht="16" customHeight="1">
      <c r="A35" s="133"/>
      <c r="B35" s="338"/>
      <c r="C35" s="339"/>
      <c r="D35" s="163"/>
      <c r="E35" s="339"/>
      <c r="F35" s="339"/>
      <c r="G35" s="529"/>
      <c r="H35" s="467"/>
      <c r="I35" s="342"/>
      <c r="J35" s="342"/>
      <c r="K35" s="342"/>
      <c r="L35" s="342"/>
    </row>
    <row r="36" spans="1:12" ht="16" customHeight="1">
      <c r="A36" s="133"/>
      <c r="B36" s="134" t="str">
        <f>"Total "&amp;B32</f>
        <v>Total Accounts Payables</v>
      </c>
      <c r="C36" s="135"/>
      <c r="D36" s="135"/>
      <c r="E36" s="135"/>
      <c r="F36" s="135"/>
      <c r="G36" s="530"/>
      <c r="H36" s="468">
        <f>$D34/360*Costs!H228</f>
        <v>88536.036150285712</v>
      </c>
      <c r="I36" s="468">
        <f>$D34/360*Costs!I228</f>
        <v>140501.9125782857</v>
      </c>
      <c r="J36" s="468">
        <f>$D34/360*Costs!J228</f>
        <v>222178.28733828574</v>
      </c>
      <c r="K36" s="468">
        <f>$D34/360*Costs!K228</f>
        <v>355303.735203619</v>
      </c>
      <c r="L36" s="468">
        <f>$D34/360*Costs!L228</f>
        <v>605923.62723161897</v>
      </c>
    </row>
    <row r="37" spans="1:12" ht="16" customHeight="1">
      <c r="A37" s="133"/>
      <c r="B37" s="269"/>
      <c r="C37" s="221"/>
      <c r="D37" s="221"/>
      <c r="E37" s="221"/>
      <c r="F37" s="221"/>
      <c r="G37" s="528"/>
      <c r="H37" s="464"/>
      <c r="I37" s="465"/>
      <c r="J37" s="465"/>
      <c r="K37" s="465"/>
      <c r="L37" s="465"/>
    </row>
    <row r="38" spans="1:12" ht="16" customHeight="1">
      <c r="A38" s="133"/>
      <c r="B38" s="219" t="s">
        <v>173</v>
      </c>
      <c r="C38" s="221"/>
      <c r="D38" s="221"/>
      <c r="E38" s="221"/>
      <c r="F38" s="221"/>
      <c r="G38" s="528"/>
      <c r="H38" s="464"/>
      <c r="I38" s="465"/>
      <c r="J38" s="465"/>
      <c r="K38" s="465"/>
      <c r="L38" s="465"/>
    </row>
    <row r="39" spans="1:12" ht="19" customHeight="1">
      <c r="A39" s="133"/>
      <c r="B39" s="124" t="s">
        <v>174</v>
      </c>
      <c r="C39" s="221"/>
      <c r="D39" s="228"/>
      <c r="E39" s="221"/>
      <c r="F39" s="221"/>
      <c r="G39" s="528"/>
      <c r="H39" s="464"/>
      <c r="I39" s="465"/>
      <c r="J39" s="465"/>
      <c r="K39" s="465"/>
      <c r="L39" s="465"/>
    </row>
    <row r="40" spans="1:12" ht="16" customHeight="1">
      <c r="A40" s="133"/>
      <c r="B40" s="269"/>
      <c r="C40" s="233" t="s">
        <v>170</v>
      </c>
      <c r="D40" s="445">
        <v>0</v>
      </c>
      <c r="E40" s="232"/>
      <c r="F40" s="221"/>
      <c r="G40" s="528"/>
      <c r="H40" s="475"/>
      <c r="I40" s="476"/>
      <c r="J40" s="476"/>
      <c r="K40" s="476"/>
      <c r="L40" s="476"/>
    </row>
    <row r="41" spans="1:12" ht="16" customHeight="1">
      <c r="A41" s="133"/>
      <c r="B41" s="269"/>
      <c r="C41" s="334" t="s">
        <v>175</v>
      </c>
      <c r="D41" s="221"/>
      <c r="E41" s="221"/>
      <c r="F41" s="221"/>
      <c r="G41" s="528"/>
      <c r="H41" s="526">
        <v>0</v>
      </c>
      <c r="I41" s="477">
        <v>0</v>
      </c>
      <c r="J41" s="477">
        <v>0</v>
      </c>
      <c r="K41" s="477">
        <v>0</v>
      </c>
      <c r="L41" s="477">
        <v>0</v>
      </c>
    </row>
    <row r="42" spans="1:12" ht="16" customHeight="1">
      <c r="A42" s="133"/>
      <c r="B42" s="269"/>
      <c r="C42" s="334" t="s">
        <v>176</v>
      </c>
      <c r="D42" s="221"/>
      <c r="E42" s="221"/>
      <c r="F42" s="221"/>
      <c r="G42" s="528"/>
      <c r="H42" s="469">
        <f>H41*$D40</f>
        <v>0</v>
      </c>
      <c r="I42" s="235">
        <f>I41*$D40</f>
        <v>0</v>
      </c>
      <c r="J42" s="235">
        <f>J41*$D40</f>
        <v>0</v>
      </c>
      <c r="K42" s="235">
        <f>K41*$D40</f>
        <v>0</v>
      </c>
      <c r="L42" s="235">
        <f>L41*$D40</f>
        <v>0</v>
      </c>
    </row>
    <row r="43" spans="1:12" ht="16" customHeight="1">
      <c r="A43" s="133"/>
      <c r="B43" s="269"/>
      <c r="C43" s="334" t="s">
        <v>213</v>
      </c>
      <c r="D43" s="221"/>
      <c r="E43" s="221"/>
      <c r="F43" s="221"/>
      <c r="G43" s="528"/>
      <c r="H43" s="469">
        <f>D40-$D40*H41</f>
        <v>0</v>
      </c>
      <c r="I43" s="235">
        <f>H43-$D40*I41</f>
        <v>0</v>
      </c>
      <c r="J43" s="235">
        <f>I43-$D40*J41</f>
        <v>0</v>
      </c>
      <c r="K43" s="235">
        <f>J43-$D40*K41</f>
        <v>0</v>
      </c>
      <c r="L43" s="235">
        <f>K43-$D40*L41</f>
        <v>0</v>
      </c>
    </row>
    <row r="44" spans="1:12" ht="16" customHeight="1">
      <c r="A44" s="133"/>
      <c r="B44" s="478"/>
      <c r="C44" s="479"/>
      <c r="D44" s="240"/>
      <c r="E44" s="240"/>
      <c r="F44" s="240"/>
      <c r="G44" s="529"/>
      <c r="H44" s="480"/>
      <c r="I44" s="402"/>
      <c r="J44" s="402"/>
      <c r="K44" s="402"/>
      <c r="L44" s="402"/>
    </row>
    <row r="45" spans="1:12" ht="16" customHeight="1">
      <c r="A45" s="133"/>
      <c r="B45" s="134" t="s">
        <v>177</v>
      </c>
      <c r="C45" s="135"/>
      <c r="D45" s="135"/>
      <c r="E45" s="135"/>
      <c r="F45" s="135"/>
      <c r="G45" s="530"/>
      <c r="H45" s="468">
        <f>H42</f>
        <v>0</v>
      </c>
      <c r="I45" s="468">
        <f t="shared" ref="I45:L45" si="1">I42</f>
        <v>0</v>
      </c>
      <c r="J45" s="468">
        <f t="shared" si="1"/>
        <v>0</v>
      </c>
      <c r="K45" s="468">
        <f t="shared" si="1"/>
        <v>0</v>
      </c>
      <c r="L45" s="468">
        <f t="shared" si="1"/>
        <v>0</v>
      </c>
    </row>
    <row r="46" spans="1:12" ht="19" customHeight="1">
      <c r="A46" s="537"/>
      <c r="B46" s="457"/>
      <c r="C46" s="35"/>
      <c r="D46" s="267"/>
      <c r="E46" s="267"/>
      <c r="F46" s="267"/>
      <c r="G46" s="528"/>
      <c r="H46" s="466"/>
      <c r="I46" s="224"/>
      <c r="J46" s="224"/>
      <c r="K46" s="224"/>
      <c r="L46" s="224"/>
    </row>
    <row r="47" spans="1:12" ht="16" customHeight="1">
      <c r="A47" s="537"/>
      <c r="B47" s="481" t="s">
        <v>178</v>
      </c>
      <c r="C47" s="35"/>
      <c r="D47" s="267"/>
      <c r="E47" s="267"/>
      <c r="F47" s="267"/>
      <c r="G47" s="528"/>
      <c r="H47" s="466"/>
      <c r="I47" s="224"/>
      <c r="J47" s="224"/>
      <c r="K47" s="224"/>
      <c r="L47" s="224"/>
    </row>
    <row r="48" spans="1:12" ht="19" customHeight="1">
      <c r="A48" s="537"/>
      <c r="B48" s="457"/>
      <c r="C48" s="35"/>
      <c r="D48" s="267"/>
      <c r="E48" s="267"/>
      <c r="F48" s="267"/>
      <c r="G48" s="528"/>
      <c r="H48" s="482"/>
      <c r="I48" s="226"/>
      <c r="J48" s="226"/>
      <c r="K48" s="226"/>
      <c r="L48" s="226"/>
    </row>
    <row r="49" spans="1:12" ht="19" customHeight="1">
      <c r="A49" s="537"/>
      <c r="B49" s="457"/>
      <c r="C49" s="334" t="s">
        <v>179</v>
      </c>
      <c r="D49" s="267"/>
      <c r="E49" s="267"/>
      <c r="F49" s="267"/>
      <c r="G49" s="528"/>
      <c r="H49" s="534">
        <v>0</v>
      </c>
      <c r="I49" s="326">
        <v>0</v>
      </c>
      <c r="J49" s="326">
        <v>0</v>
      </c>
      <c r="K49" s="326">
        <v>0</v>
      </c>
      <c r="L49" s="326">
        <v>0</v>
      </c>
    </row>
    <row r="50" spans="1:12" ht="19" customHeight="1">
      <c r="A50" s="537"/>
      <c r="B50" s="457"/>
      <c r="C50" s="334" t="s">
        <v>180</v>
      </c>
      <c r="D50" s="267"/>
      <c r="E50" s="267"/>
      <c r="F50" s="267"/>
      <c r="G50" s="528"/>
      <c r="H50" s="535">
        <v>0</v>
      </c>
      <c r="I50" s="445">
        <v>0</v>
      </c>
      <c r="J50" s="445">
        <v>0</v>
      </c>
      <c r="K50" s="445">
        <v>0</v>
      </c>
      <c r="L50" s="445">
        <v>0</v>
      </c>
    </row>
    <row r="51" spans="1:12" ht="19" customHeight="1">
      <c r="A51" s="537"/>
      <c r="B51" s="483"/>
      <c r="C51" s="255"/>
      <c r="D51" s="339"/>
      <c r="E51" s="339"/>
      <c r="F51" s="339"/>
      <c r="G51" s="529"/>
      <c r="H51" s="480"/>
      <c r="I51" s="402"/>
      <c r="J51" s="402"/>
      <c r="K51" s="402"/>
      <c r="L51" s="402"/>
    </row>
    <row r="52" spans="1:12" ht="16" customHeight="1">
      <c r="A52" s="537"/>
      <c r="B52" s="490" t="s">
        <v>181</v>
      </c>
      <c r="C52" s="135"/>
      <c r="D52" s="135"/>
      <c r="E52" s="135"/>
      <c r="F52" s="135"/>
      <c r="G52" s="530"/>
      <c r="H52" s="468">
        <f>H49-H50</f>
        <v>0</v>
      </c>
      <c r="I52" s="190">
        <f>I49-I50</f>
        <v>0</v>
      </c>
      <c r="J52" s="190">
        <f>J49-J50</f>
        <v>0</v>
      </c>
      <c r="K52" s="190">
        <f>K49-K50</f>
        <v>0</v>
      </c>
      <c r="L52" s="190">
        <f>L49-L50</f>
        <v>0</v>
      </c>
    </row>
    <row r="53" spans="1:12" ht="19" customHeight="1">
      <c r="A53" s="537"/>
      <c r="B53" s="457"/>
      <c r="C53" s="35"/>
      <c r="D53" s="267"/>
      <c r="E53" s="267"/>
      <c r="F53" s="267"/>
      <c r="G53" s="528"/>
      <c r="H53" s="466"/>
      <c r="I53" s="224"/>
      <c r="J53" s="224"/>
      <c r="K53" s="224"/>
      <c r="L53" s="224"/>
    </row>
    <row r="54" spans="1:12" ht="19" customHeight="1">
      <c r="A54" s="537"/>
      <c r="B54" s="484"/>
      <c r="C54" s="252"/>
      <c r="D54" s="322"/>
      <c r="E54" s="322"/>
      <c r="F54" s="322"/>
      <c r="G54" s="532"/>
      <c r="H54" s="485"/>
      <c r="I54" s="486"/>
      <c r="J54" s="486"/>
      <c r="K54" s="486"/>
      <c r="L54" s="486"/>
    </row>
    <row r="55" spans="1:12" ht="20" customHeight="1">
      <c r="A55" s="537"/>
      <c r="B55" s="536" t="s">
        <v>47</v>
      </c>
      <c r="C55" s="201"/>
      <c r="D55" s="201"/>
      <c r="E55" s="201"/>
      <c r="F55" s="201"/>
      <c r="G55" s="533"/>
      <c r="H55" s="525" t="str">
        <f t="shared" si="0"/>
        <v>Year 1</v>
      </c>
      <c r="I55" s="212" t="str">
        <f>I$3</f>
        <v>Year 2</v>
      </c>
      <c r="J55" s="212" t="str">
        <f>J$3</f>
        <v>Year 3</v>
      </c>
      <c r="K55" s="212" t="str">
        <f>K$3</f>
        <v>Year 4</v>
      </c>
      <c r="L55" s="213" t="str">
        <f>L$3</f>
        <v>Year 5</v>
      </c>
    </row>
    <row r="56" spans="1:12" ht="19" customHeight="1">
      <c r="A56" s="537"/>
      <c r="B56" s="487"/>
      <c r="C56" s="318"/>
      <c r="D56" s="273"/>
      <c r="E56" s="273"/>
      <c r="F56" s="273"/>
      <c r="G56" s="527"/>
      <c r="H56" s="488"/>
      <c r="I56" s="489"/>
      <c r="J56" s="489"/>
      <c r="K56" s="489"/>
      <c r="L56" s="489"/>
    </row>
    <row r="57" spans="1:12" ht="19" customHeight="1">
      <c r="A57" s="537"/>
      <c r="B57" s="457"/>
      <c r="C57" s="334" t="s">
        <v>182</v>
      </c>
      <c r="D57" s="267"/>
      <c r="E57" s="267"/>
      <c r="F57" s="267"/>
      <c r="G57" s="528"/>
      <c r="H57" s="535">
        <v>0</v>
      </c>
      <c r="I57" s="445">
        <v>0</v>
      </c>
      <c r="J57" s="445">
        <v>0</v>
      </c>
      <c r="K57" s="445">
        <v>0</v>
      </c>
      <c r="L57" s="445">
        <v>0</v>
      </c>
    </row>
    <row r="58" spans="1:12" ht="19" customHeight="1">
      <c r="A58" s="537"/>
      <c r="B58" s="483"/>
      <c r="C58" s="255"/>
      <c r="D58" s="339"/>
      <c r="E58" s="339"/>
      <c r="F58" s="339"/>
      <c r="G58" s="529"/>
      <c r="H58" s="480"/>
      <c r="I58" s="402"/>
      <c r="J58" s="402"/>
      <c r="K58" s="402"/>
      <c r="L58" s="402"/>
    </row>
    <row r="59" spans="1:12" ht="16" customHeight="1">
      <c r="A59" s="537"/>
      <c r="B59" s="538" t="s">
        <v>183</v>
      </c>
      <c r="C59" s="539"/>
      <c r="D59" s="539"/>
      <c r="E59" s="539"/>
      <c r="F59" s="539"/>
      <c r="G59" s="540"/>
      <c r="H59" s="541">
        <f>H57</f>
        <v>0</v>
      </c>
      <c r="I59" s="542">
        <f>I57</f>
        <v>0</v>
      </c>
      <c r="J59" s="542">
        <f>J57</f>
        <v>0</v>
      </c>
      <c r="K59" s="542">
        <f>K57</f>
        <v>0</v>
      </c>
      <c r="L59" s="542">
        <f>L57</f>
        <v>0</v>
      </c>
    </row>
  </sheetData>
  <mergeCells count="1">
    <mergeCell ref="D1:H1"/>
  </mergeCells>
  <pageMargins left="0.7" right="0.7" top="0.75" bottom="0.75" header="0.3" footer="0.3"/>
  <pageSetup orientation="portrait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9A61-1DD9-6345-9BBC-C9AEA1125C5C}">
  <dimension ref="A1:N30"/>
  <sheetViews>
    <sheetView showGridLines="0" tabSelected="1" workbookViewId="0">
      <selection activeCell="D10" sqref="D10"/>
    </sheetView>
  </sheetViews>
  <sheetFormatPr baseColWidth="10" defaultColWidth="10.83203125" defaultRowHeight="16"/>
  <cols>
    <col min="1" max="1" width="7" style="558" customWidth="1"/>
    <col min="2" max="9" width="23.5" style="558" customWidth="1"/>
    <col min="10" max="16384" width="10.83203125" style="558"/>
  </cols>
  <sheetData>
    <row r="1" spans="1:14" ht="40" customHeight="1">
      <c r="A1" s="593"/>
      <c r="B1" s="589" t="s">
        <v>234</v>
      </c>
      <c r="C1" s="589"/>
      <c r="D1" s="592" t="s">
        <v>268</v>
      </c>
      <c r="H1" s="591" t="s">
        <v>233</v>
      </c>
      <c r="I1" s="591"/>
      <c r="J1" s="590"/>
    </row>
    <row r="2" spans="1:14" ht="15.75" customHeight="1" thickBot="1">
      <c r="B2" s="589"/>
      <c r="C2" s="589"/>
    </row>
    <row r="3" spans="1:14" ht="21" thickTop="1">
      <c r="B3" s="588" t="s">
        <v>232</v>
      </c>
      <c r="C3" s="587"/>
      <c r="D3" s="586" t="s">
        <v>231</v>
      </c>
      <c r="E3" s="586" t="s">
        <v>22</v>
      </c>
      <c r="F3" s="586" t="s">
        <v>23</v>
      </c>
      <c r="G3" s="586" t="s">
        <v>24</v>
      </c>
      <c r="H3" s="586" t="s">
        <v>25</v>
      </c>
      <c r="I3" s="586" t="s">
        <v>26</v>
      </c>
      <c r="J3" s="586" t="s">
        <v>230</v>
      </c>
    </row>
    <row r="4" spans="1:14" ht="18">
      <c r="B4" s="585"/>
      <c r="C4" s="584"/>
      <c r="D4" s="583"/>
      <c r="E4" s="582"/>
      <c r="F4" s="580"/>
      <c r="G4" s="580"/>
      <c r="H4" s="580"/>
      <c r="I4" s="579"/>
      <c r="J4" s="579"/>
      <c r="L4" s="581"/>
      <c r="N4" s="581"/>
    </row>
    <row r="5" spans="1:14">
      <c r="B5" s="570" t="s">
        <v>28</v>
      </c>
      <c r="C5" s="569"/>
      <c r="D5" s="568">
        <f>'P&amp;L &amp; CF'!G13</f>
        <v>350000</v>
      </c>
      <c r="E5" s="568">
        <f>Revenue!H123</f>
        <v>1042983.4171428571</v>
      </c>
      <c r="F5" s="568">
        <f>Revenue!I123</f>
        <v>2153420.2971428572</v>
      </c>
      <c r="G5" s="568">
        <f>Revenue!J123</f>
        <v>3825891.8971428573</v>
      </c>
      <c r="H5" s="568">
        <f>Revenue!K123</f>
        <v>6453747.0171428565</v>
      </c>
      <c r="I5" s="568">
        <f>Revenue!L123</f>
        <v>10740014.697142856</v>
      </c>
      <c r="J5" s="566"/>
    </row>
    <row r="6" spans="1:14">
      <c r="B6" s="570" t="s">
        <v>184</v>
      </c>
      <c r="C6" s="569"/>
      <c r="D6" s="568">
        <f>'P&amp;L &amp; CF'!G17</f>
        <v>50000</v>
      </c>
      <c r="E6" s="568">
        <f>'P&amp;L &amp; CF'!H19</f>
        <v>65000</v>
      </c>
      <c r="F6" s="568">
        <f>'P&amp;L &amp; CF'!I19</f>
        <v>71500</v>
      </c>
      <c r="G6" s="568">
        <f>'P&amp;L &amp; CF'!J19</f>
        <v>78650</v>
      </c>
      <c r="H6" s="568">
        <f>'P&amp;L &amp; CF'!K19</f>
        <v>86515</v>
      </c>
      <c r="I6" s="568">
        <f>'P&amp;L &amp; CF'!L19</f>
        <v>95166.500000000015</v>
      </c>
      <c r="J6" s="566"/>
    </row>
    <row r="7" spans="1:14">
      <c r="B7" s="570" t="s">
        <v>185</v>
      </c>
      <c r="C7" s="569"/>
      <c r="D7" s="568">
        <f>'P&amp;L &amp; CF'!G32</f>
        <v>422000</v>
      </c>
      <c r="E7" s="568">
        <f>Costs!H129</f>
        <v>1354844.5</v>
      </c>
      <c r="F7" s="568">
        <f>Costs!I129</f>
        <v>1736261.56</v>
      </c>
      <c r="G7" s="568">
        <f>Costs!J129</f>
        <v>2262116.3769999999</v>
      </c>
      <c r="H7" s="568">
        <f>Costs!K129</f>
        <v>2943524.0746720005</v>
      </c>
      <c r="I7" s="568">
        <f>Costs!L129</f>
        <v>5043640.3253322411</v>
      </c>
      <c r="J7" s="566"/>
    </row>
    <row r="8" spans="1:14">
      <c r="B8" s="570" t="s">
        <v>229</v>
      </c>
      <c r="C8" s="569"/>
      <c r="D8" s="568">
        <f>'P&amp;L &amp; CF'!G43</f>
        <v>144500</v>
      </c>
      <c r="E8" s="568">
        <f>Costs!H228</f>
        <v>531216.21690171433</v>
      </c>
      <c r="F8" s="568">
        <f>Costs!I228</f>
        <v>843011.47546971426</v>
      </c>
      <c r="G8" s="568">
        <f>Costs!J228</f>
        <v>1333069.7240297145</v>
      </c>
      <c r="H8" s="568">
        <f>Costs!K228</f>
        <v>2131822.4112217142</v>
      </c>
      <c r="I8" s="568">
        <f>Costs!L228</f>
        <v>3635541.7633897141</v>
      </c>
      <c r="J8" s="568"/>
    </row>
    <row r="9" spans="1:14">
      <c r="A9" s="565"/>
      <c r="B9" s="570"/>
      <c r="C9" s="569"/>
      <c r="D9" s="578"/>
      <c r="E9" s="568"/>
      <c r="F9" s="568"/>
      <c r="G9" s="568"/>
      <c r="H9" s="568"/>
      <c r="I9" s="568"/>
      <c r="J9" s="566"/>
    </row>
    <row r="10" spans="1:14">
      <c r="A10" s="565"/>
      <c r="B10" s="570" t="s">
        <v>186</v>
      </c>
      <c r="C10" s="569"/>
      <c r="D10" s="568">
        <f>-'P&amp;L &amp; CF'!G51</f>
        <v>1000</v>
      </c>
      <c r="E10" s="568">
        <f>Costs!H234</f>
        <v>4000</v>
      </c>
      <c r="F10" s="568">
        <f>Costs!I234</f>
        <v>4000</v>
      </c>
      <c r="G10" s="568">
        <f>Costs!J234</f>
        <v>4000</v>
      </c>
      <c r="H10" s="568">
        <f>Costs!K234</f>
        <v>4000</v>
      </c>
      <c r="I10" s="568">
        <f>Costs!L234</f>
        <v>4000</v>
      </c>
      <c r="J10" s="566"/>
    </row>
    <row r="11" spans="1:14">
      <c r="A11" s="565"/>
      <c r="B11" s="570"/>
      <c r="C11" s="569"/>
      <c r="D11" s="578"/>
      <c r="E11" s="568"/>
      <c r="F11" s="568"/>
      <c r="G11" s="568"/>
      <c r="H11" s="568"/>
      <c r="I11" s="568"/>
      <c r="J11" s="566"/>
    </row>
    <row r="12" spans="1:14">
      <c r="A12" s="565"/>
      <c r="B12" s="570" t="s">
        <v>36</v>
      </c>
      <c r="C12" s="569"/>
      <c r="D12" s="568">
        <f>'P&amp;L &amp; CF'!G57</f>
        <v>1000</v>
      </c>
      <c r="E12" s="568">
        <f>Costs!H239</f>
        <v>0</v>
      </c>
      <c r="F12" s="568">
        <f>Costs!I239</f>
        <v>0</v>
      </c>
      <c r="G12" s="568">
        <f>Costs!J239</f>
        <v>0</v>
      </c>
      <c r="H12" s="568">
        <f>Costs!K239</f>
        <v>0</v>
      </c>
      <c r="I12" s="568">
        <f>Costs!L239</f>
        <v>0</v>
      </c>
      <c r="J12" s="566"/>
    </row>
    <row r="13" spans="1:14">
      <c r="A13" s="577"/>
      <c r="B13" s="570" t="s">
        <v>38</v>
      </c>
      <c r="C13" s="569"/>
      <c r="D13" s="568">
        <f>'P&amp;L &amp; CF'!G65</f>
        <v>1000</v>
      </c>
      <c r="E13" s="568">
        <f>'[3]Summary Financials'!G$69</f>
        <v>0</v>
      </c>
      <c r="F13" s="568">
        <f>'[3]Summary Financials'!H$69</f>
        <v>0</v>
      </c>
      <c r="G13" s="568">
        <f>'[3]Summary Financials'!I$69</f>
        <v>0</v>
      </c>
      <c r="H13" s="568">
        <f>'[3]Summary Financials'!J$69</f>
        <v>0</v>
      </c>
      <c r="I13" s="568">
        <f>'[3]Summary Financials'!K$69</f>
        <v>0</v>
      </c>
      <c r="J13" s="566"/>
    </row>
    <row r="14" spans="1:14">
      <c r="A14" s="565"/>
      <c r="B14" s="575"/>
      <c r="C14" s="569"/>
      <c r="D14" s="574"/>
      <c r="E14" s="573"/>
      <c r="F14" s="573"/>
      <c r="G14" s="573"/>
      <c r="H14" s="573"/>
      <c r="I14" s="573"/>
      <c r="J14" s="571"/>
    </row>
    <row r="15" spans="1:14">
      <c r="A15" s="565"/>
      <c r="B15" s="570" t="s">
        <v>187</v>
      </c>
      <c r="C15" s="569"/>
      <c r="D15" s="568">
        <f>'BS CF'!D8</f>
        <v>1000</v>
      </c>
      <c r="E15" s="568">
        <f>'BS CF'!H11</f>
        <v>2979.9526204081626</v>
      </c>
      <c r="F15" s="568">
        <f>'BS CF'!I11</f>
        <v>6152.6294204081623</v>
      </c>
      <c r="G15" s="568">
        <f>'BS CF'!J11</f>
        <v>10931.119706122448</v>
      </c>
      <c r="H15" s="568">
        <f>'BS CF'!K11</f>
        <v>18439.277191836729</v>
      </c>
      <c r="I15" s="568">
        <f>'BS CF'!L11</f>
        <v>30685.756277551012</v>
      </c>
      <c r="J15" s="566"/>
    </row>
    <row r="16" spans="1:14">
      <c r="A16" s="577"/>
      <c r="B16" s="570" t="s">
        <v>188</v>
      </c>
      <c r="C16" s="569"/>
      <c r="D16" s="568">
        <f>'BS CF'!D14</f>
        <v>1000</v>
      </c>
      <c r="E16" s="568">
        <f>'BS CF'!H17</f>
        <v>104298.34171428572</v>
      </c>
      <c r="F16" s="568">
        <f>'BS CF'!I17</f>
        <v>215342.02971428575</v>
      </c>
      <c r="G16" s="568">
        <f>'BS CF'!J17</f>
        <v>382589.18971428578</v>
      </c>
      <c r="H16" s="568">
        <f>'BS CF'!K17</f>
        <v>645374.70171428565</v>
      </c>
      <c r="I16" s="568">
        <f>'BS CF'!L17</f>
        <v>1074001.4697142856</v>
      </c>
      <c r="J16" s="566"/>
    </row>
    <row r="17" spans="1:10">
      <c r="A17" s="565"/>
      <c r="B17" s="570" t="s">
        <v>189</v>
      </c>
      <c r="C17" s="569"/>
      <c r="D17" s="568">
        <f>'BS CF'!D33</f>
        <v>10000</v>
      </c>
      <c r="E17" s="568">
        <f>'BS CF'!H36</f>
        <v>88536.036150285712</v>
      </c>
      <c r="F17" s="568">
        <f>'BS CF'!I36</f>
        <v>140501.9125782857</v>
      </c>
      <c r="G17" s="568">
        <f>'BS CF'!J36</f>
        <v>222178.28733828574</v>
      </c>
      <c r="H17" s="568">
        <f>'BS CF'!K36</f>
        <v>355303.735203619</v>
      </c>
      <c r="I17" s="568">
        <f>'BS CF'!L36</f>
        <v>605923.62723161897</v>
      </c>
      <c r="J17" s="566"/>
    </row>
    <row r="18" spans="1:10">
      <c r="A18" s="565"/>
      <c r="B18" s="570"/>
      <c r="C18" s="569"/>
      <c r="D18" s="578"/>
      <c r="E18" s="568"/>
      <c r="F18" s="568"/>
      <c r="G18" s="568"/>
      <c r="H18" s="568"/>
      <c r="I18" s="568"/>
      <c r="J18" s="566"/>
    </row>
    <row r="19" spans="1:10">
      <c r="A19" s="565"/>
      <c r="B19" s="570" t="s">
        <v>47</v>
      </c>
      <c r="C19" s="569"/>
      <c r="D19" s="562">
        <v>0</v>
      </c>
      <c r="E19" s="568">
        <f>'BS CF'!H59</f>
        <v>0</v>
      </c>
      <c r="F19" s="568">
        <f>'BS CF'!I59</f>
        <v>0</v>
      </c>
      <c r="G19" s="568">
        <f>'BS CF'!J59</f>
        <v>0</v>
      </c>
      <c r="H19" s="568">
        <f>'BS CF'!K59</f>
        <v>0</v>
      </c>
      <c r="I19" s="568">
        <f>'BS CF'!L59</f>
        <v>0</v>
      </c>
      <c r="J19" s="568"/>
    </row>
    <row r="20" spans="1:10">
      <c r="A20" s="577"/>
      <c r="B20" s="570" t="s">
        <v>190</v>
      </c>
      <c r="C20" s="569"/>
      <c r="D20" s="562">
        <v>0</v>
      </c>
      <c r="E20" s="568">
        <f>'BS CF'!H45</f>
        <v>0</v>
      </c>
      <c r="F20" s="568">
        <f>'BS CF'!I60</f>
        <v>0</v>
      </c>
      <c r="G20" s="568">
        <f>'BS CF'!J45</f>
        <v>0</v>
      </c>
      <c r="H20" s="568">
        <f>'BS CF'!K45</f>
        <v>0</v>
      </c>
      <c r="I20" s="568">
        <f>'BS CF'!L45</f>
        <v>0</v>
      </c>
      <c r="J20" s="566"/>
    </row>
    <row r="21" spans="1:10">
      <c r="A21" s="577"/>
      <c r="B21" s="570" t="s">
        <v>191</v>
      </c>
      <c r="C21" s="569"/>
      <c r="D21" s="562">
        <v>0</v>
      </c>
      <c r="E21" s="568">
        <f>'BS CF'!H52</f>
        <v>0</v>
      </c>
      <c r="F21" s="568">
        <f>'BS CF'!I52</f>
        <v>0</v>
      </c>
      <c r="G21" s="568">
        <f>'BS CF'!J52</f>
        <v>0</v>
      </c>
      <c r="H21" s="568">
        <f>'BS CF'!K52</f>
        <v>0</v>
      </c>
      <c r="I21" s="568">
        <f>'BS CF'!L52</f>
        <v>0</v>
      </c>
      <c r="J21" s="566"/>
    </row>
    <row r="22" spans="1:10">
      <c r="A22" s="576"/>
      <c r="B22" s="575"/>
      <c r="C22" s="569"/>
      <c r="D22" s="574"/>
      <c r="E22" s="573"/>
      <c r="F22" s="572"/>
      <c r="G22" s="572"/>
      <c r="H22" s="572"/>
      <c r="I22" s="571"/>
      <c r="J22" s="571"/>
    </row>
    <row r="23" spans="1:10">
      <c r="A23" s="565"/>
      <c r="B23" s="570" t="s">
        <v>192</v>
      </c>
      <c r="C23" s="569"/>
      <c r="D23" s="568">
        <f>'BS CF'!D29</f>
        <v>200000</v>
      </c>
      <c r="E23" s="568"/>
      <c r="F23" s="567"/>
      <c r="G23" s="567"/>
      <c r="H23" s="567"/>
      <c r="I23" s="566"/>
      <c r="J23" s="566"/>
    </row>
    <row r="24" spans="1:10">
      <c r="A24" s="565"/>
      <c r="B24" s="570" t="s">
        <v>60</v>
      </c>
      <c r="C24" s="569"/>
      <c r="D24" s="568">
        <f>'BS CF'!D23</f>
        <v>10000</v>
      </c>
      <c r="E24" s="568"/>
      <c r="F24" s="567"/>
      <c r="G24" s="567"/>
      <c r="H24" s="567"/>
      <c r="I24" s="566"/>
      <c r="J24" s="566"/>
    </row>
    <row r="25" spans="1:10">
      <c r="A25" s="565"/>
      <c r="B25" s="570" t="s">
        <v>59</v>
      </c>
      <c r="C25" s="569"/>
      <c r="D25" s="568">
        <f>'BS CF'!D20</f>
        <v>10000</v>
      </c>
      <c r="E25" s="568"/>
      <c r="F25" s="567"/>
      <c r="G25" s="567"/>
      <c r="H25" s="567"/>
      <c r="I25" s="566"/>
      <c r="J25" s="566"/>
    </row>
    <row r="26" spans="1:10">
      <c r="A26" s="565"/>
      <c r="B26" s="570" t="s">
        <v>193</v>
      </c>
      <c r="C26" s="569"/>
      <c r="D26" s="568">
        <f>'BS CF'!D26</f>
        <v>10000</v>
      </c>
      <c r="E26" s="568"/>
      <c r="F26" s="567"/>
      <c r="G26" s="567"/>
      <c r="H26" s="567"/>
      <c r="I26" s="566"/>
      <c r="J26" s="566"/>
    </row>
    <row r="27" spans="1:10">
      <c r="A27" s="565"/>
      <c r="B27" s="570" t="s">
        <v>194</v>
      </c>
      <c r="C27" s="569"/>
      <c r="D27" s="568">
        <f>Costs!D248</f>
        <v>0</v>
      </c>
      <c r="E27" s="568"/>
      <c r="F27" s="567"/>
      <c r="G27" s="567"/>
      <c r="H27" s="567"/>
      <c r="I27" s="566"/>
      <c r="J27" s="566"/>
    </row>
    <row r="28" spans="1:10">
      <c r="A28" s="565"/>
      <c r="B28" s="570" t="s">
        <v>195</v>
      </c>
      <c r="C28" s="569"/>
      <c r="D28" s="568">
        <f>'BS CF'!D33</f>
        <v>10000</v>
      </c>
      <c r="E28" s="568"/>
      <c r="F28" s="567"/>
      <c r="G28" s="567"/>
      <c r="H28" s="567"/>
      <c r="I28" s="566"/>
      <c r="J28" s="566"/>
    </row>
    <row r="29" spans="1:10">
      <c r="A29" s="565"/>
      <c r="B29" s="570" t="s">
        <v>196</v>
      </c>
      <c r="C29" s="569"/>
      <c r="D29" s="568">
        <f>'BS CF'!D40</f>
        <v>0</v>
      </c>
      <c r="E29" s="568"/>
      <c r="F29" s="567"/>
      <c r="G29" s="567"/>
      <c r="H29" s="567"/>
      <c r="I29" s="566"/>
      <c r="J29" s="566"/>
    </row>
    <row r="30" spans="1:10">
      <c r="A30" s="565"/>
      <c r="B30" s="564" t="s">
        <v>63</v>
      </c>
      <c r="C30" s="563"/>
      <c r="D30" s="562">
        <v>0</v>
      </c>
      <c r="E30" s="561"/>
      <c r="F30" s="560"/>
      <c r="G30" s="560"/>
      <c r="H30" s="560"/>
      <c r="I30" s="559"/>
      <c r="J30" s="559"/>
    </row>
  </sheetData>
  <hyperlinks>
    <hyperlink ref="B1" location="Introduction!A1" display="Return to Introduction Page" xr:uid="{C574D6DC-10BF-4843-AAFE-1D08A3A9C06E}"/>
    <hyperlink ref="H1" r:id="rId1" xr:uid="{F2907115-366F-AD41-8265-03563AD04A61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49</vt:i4>
      </vt:variant>
    </vt:vector>
  </HeadingPairs>
  <TitlesOfParts>
    <vt:vector size="55" baseType="lpstr">
      <vt:lpstr>Introduction</vt:lpstr>
      <vt:lpstr>P&amp;L &amp; CF</vt:lpstr>
      <vt:lpstr>Revenue</vt:lpstr>
      <vt:lpstr>Costs</vt:lpstr>
      <vt:lpstr>BS CF</vt:lpstr>
      <vt:lpstr>Equidam Financials Input</vt:lpstr>
      <vt:lpstr>accrued_employee_and_crew_salary</vt:lpstr>
      <vt:lpstr>accrued_IT_expenses</vt:lpstr>
      <vt:lpstr>accrued_manag_salary</vt:lpstr>
      <vt:lpstr>accrued_postholder_salary</vt:lpstr>
      <vt:lpstr>aircraft_lease</vt:lpstr>
      <vt:lpstr>aircraft_lease_deposit</vt:lpstr>
      <vt:lpstr>aircraft_subscriptions</vt:lpstr>
      <vt:lpstr>cash_and_cash_equiv</vt:lpstr>
      <vt:lpstr>change_in_NWC</vt:lpstr>
      <vt:lpstr>contingency</vt:lpstr>
      <vt:lpstr>Cost_of_Goods_Sold</vt:lpstr>
      <vt:lpstr>crew_salary</vt:lpstr>
      <vt:lpstr>current_assets</vt:lpstr>
      <vt:lpstr>current_liabilities</vt:lpstr>
      <vt:lpstr>debt</vt:lpstr>
      <vt:lpstr>EBIT</vt:lpstr>
      <vt:lpstr>EBITDA</vt:lpstr>
      <vt:lpstr>employee_salary</vt:lpstr>
      <vt:lpstr>furn_soft_equip</vt:lpstr>
      <vt:lpstr>furn_soft_equip_depreciation</vt:lpstr>
      <vt:lpstr>initial_training</vt:lpstr>
      <vt:lpstr>insurance</vt:lpstr>
      <vt:lpstr>interest_on_debt</vt:lpstr>
      <vt:lpstr>interest_on_debts</vt:lpstr>
      <vt:lpstr>IT</vt:lpstr>
      <vt:lpstr>maintenance</vt:lpstr>
      <vt:lpstr>management_salary</vt:lpstr>
      <vt:lpstr>misc</vt:lpstr>
      <vt:lpstr>net_income</vt:lpstr>
      <vt:lpstr>net_working_capital</vt:lpstr>
      <vt:lpstr>net_working_capital_t_minus_1</vt:lpstr>
      <vt:lpstr>offices</vt:lpstr>
      <vt:lpstr>other_operating_cost</vt:lpstr>
      <vt:lpstr>Postholder_salary</vt:lpstr>
      <vt:lpstr>recurrent_training</vt:lpstr>
      <vt:lpstr>required_capital</vt:lpstr>
      <vt:lpstr>revenues</vt:lpstr>
      <vt:lpstr>Salary</vt:lpstr>
      <vt:lpstr>start_up_cost_amortization</vt:lpstr>
      <vt:lpstr>subscriptions</vt:lpstr>
      <vt:lpstr>tax</vt:lpstr>
      <vt:lpstr>total_dep_and_amort</vt:lpstr>
      <vt:lpstr>total_operating_expenses</vt:lpstr>
      <vt:lpstr>total_revised_startup_costs</vt:lpstr>
      <vt:lpstr>total_shareholders_equity</vt:lpstr>
      <vt:lpstr>total_startup_asset_funds</vt:lpstr>
      <vt:lpstr>travel</vt:lpstr>
      <vt:lpstr>uniform_writeoff_expense</vt:lpstr>
      <vt:lpstr>uniforms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Faloppa</cp:lastModifiedBy>
  <dcterms:created xsi:type="dcterms:W3CDTF">2020-08-27T16:12:08Z</dcterms:created>
  <dcterms:modified xsi:type="dcterms:W3CDTF">2024-08-14T11:02:41Z</dcterms:modified>
</cp:coreProperties>
</file>